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435"/>
  </bookViews>
  <sheets>
    <sheet name="DOCHODY" sheetId="1" r:id="rId1"/>
  </sheets>
  <definedNames>
    <definedName name="_xlnm.Print_Area" localSheetId="0">DOCHODY!$A$1:$E$208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7" i="1" l="1"/>
  <c r="E206" i="1"/>
  <c r="E205" i="1"/>
  <c r="E204" i="1"/>
  <c r="E203" i="1" s="1"/>
  <c r="E200" i="1" s="1"/>
  <c r="E202" i="1"/>
  <c r="E201" i="1" s="1"/>
  <c r="E199" i="1"/>
  <c r="E198" i="1"/>
  <c r="E197" i="1"/>
  <c r="E194" i="1"/>
  <c r="E193" i="1"/>
  <c r="E192" i="1"/>
  <c r="E191" i="1"/>
  <c r="E187" i="1"/>
  <c r="E186" i="1"/>
  <c r="E185" i="1"/>
  <c r="E184" i="1"/>
  <c r="E180" i="1"/>
  <c r="E179" i="1"/>
  <c r="E178" i="1" s="1"/>
  <c r="E175" i="1"/>
  <c r="E171" i="1"/>
  <c r="E170" i="1" s="1"/>
  <c r="E168" i="1"/>
  <c r="E167" i="1" s="1"/>
  <c r="E166" i="1"/>
  <c r="E165" i="1"/>
  <c r="E164" i="1"/>
  <c r="E163" i="1"/>
  <c r="E162" i="1"/>
  <c r="E159" i="1" s="1"/>
  <c r="E161" i="1"/>
  <c r="E160" i="1"/>
  <c r="E156" i="1"/>
  <c r="E154" i="1"/>
  <c r="E153" i="1" s="1"/>
  <c r="E152" i="1" s="1"/>
  <c r="E150" i="1"/>
  <c r="E148" i="1"/>
  <c r="E145" i="1"/>
  <c r="E144" i="1"/>
  <c r="E143" i="1"/>
  <c r="E142" i="1"/>
  <c r="E141" i="1"/>
  <c r="E140" i="1" s="1"/>
  <c r="E139" i="1"/>
  <c r="E138" i="1" s="1"/>
  <c r="E136" i="1"/>
  <c r="E134" i="1"/>
  <c r="E131" i="1"/>
  <c r="E130" i="1"/>
  <c r="E129" i="1"/>
  <c r="E128" i="1" s="1"/>
  <c r="E127" i="1"/>
  <c r="E126" i="1" s="1"/>
  <c r="E122" i="1"/>
  <c r="E121" i="1" s="1"/>
  <c r="E119" i="1"/>
  <c r="E118" i="1" s="1"/>
  <c r="E117" i="1" s="1"/>
  <c r="E116" i="1"/>
  <c r="E115" i="1" s="1"/>
  <c r="E112" i="1"/>
  <c r="E108" i="1"/>
  <c r="E107" i="1" s="1"/>
  <c r="E106" i="1" s="1"/>
  <c r="E103" i="1"/>
  <c r="E102" i="1" s="1"/>
  <c r="E99" i="1"/>
  <c r="E98" i="1" s="1"/>
  <c r="E97" i="1"/>
  <c r="E96" i="1"/>
  <c r="E92" i="1"/>
  <c r="E91" i="1"/>
  <c r="E90" i="1"/>
  <c r="E89" i="1"/>
  <c r="E88" i="1" s="1"/>
  <c r="E87" i="1" s="1"/>
  <c r="E86" i="1"/>
  <c r="E84" i="1" s="1"/>
  <c r="E83" i="1" s="1"/>
  <c r="E85" i="1"/>
  <c r="E81" i="1"/>
  <c r="E80" i="1"/>
  <c r="E79" i="1" s="1"/>
  <c r="E77" i="1"/>
  <c r="E76" i="1"/>
  <c r="E75" i="1" s="1"/>
  <c r="E74" i="1"/>
  <c r="E73" i="1" s="1"/>
  <c r="E70" i="1"/>
  <c r="E69" i="1" s="1"/>
  <c r="E68" i="1"/>
  <c r="E67" i="1" s="1"/>
  <c r="E65" i="1"/>
  <c r="E62" i="1"/>
  <c r="E61" i="1"/>
  <c r="E59" i="1"/>
  <c r="E58" i="1" s="1"/>
  <c r="E56" i="1"/>
  <c r="E55" i="1" s="1"/>
  <c r="E54" i="1"/>
  <c r="E53" i="1" s="1"/>
  <c r="E51" i="1"/>
  <c r="E49" i="1"/>
  <c r="E48" i="1"/>
  <c r="E47" i="1" s="1"/>
  <c r="E45" i="1"/>
  <c r="E43" i="1"/>
  <c r="E40" i="1"/>
  <c r="E39" i="1"/>
  <c r="E38" i="1"/>
  <c r="E37" i="1"/>
  <c r="E36" i="1" s="1"/>
  <c r="E34" i="1"/>
  <c r="E33" i="1"/>
  <c r="E32" i="1" s="1"/>
  <c r="E28" i="1"/>
  <c r="E27" i="1"/>
  <c r="E25" i="1"/>
  <c r="E24" i="1"/>
  <c r="E23" i="1" s="1"/>
  <c r="E22" i="1" s="1"/>
  <c r="E21" i="1"/>
  <c r="E20" i="1" s="1"/>
  <c r="E14" i="1"/>
  <c r="E13" i="1"/>
  <c r="E12" i="1" s="1"/>
  <c r="E10" i="1"/>
  <c r="E9" i="1"/>
  <c r="E8" i="1" s="1"/>
  <c r="E133" i="1" l="1"/>
  <c r="E132" i="1" s="1"/>
  <c r="E147" i="1"/>
  <c r="E146" i="1" s="1"/>
  <c r="E190" i="1"/>
  <c r="E196" i="1"/>
  <c r="E195" i="1" s="1"/>
  <c r="E95" i="1"/>
  <c r="E158" i="1"/>
  <c r="E177" i="1"/>
  <c r="E7" i="1"/>
  <c r="E11" i="1"/>
  <c r="E57" i="1"/>
  <c r="E66" i="1"/>
  <c r="E111" i="1"/>
  <c r="E94" i="1"/>
  <c r="E189" i="1"/>
  <c r="E19" i="1"/>
  <c r="E26" i="1"/>
  <c r="E46" i="1"/>
  <c r="E72" i="1"/>
  <c r="E125" i="1"/>
  <c r="E183" i="1"/>
  <c r="E63" i="1"/>
  <c r="E60" i="1" s="1"/>
  <c r="E182" i="1" l="1"/>
  <c r="E188" i="1"/>
  <c r="E18" i="1"/>
  <c r="E110" i="1"/>
  <c r="E124" i="1"/>
  <c r="E71" i="1"/>
  <c r="E82" i="1"/>
  <c r="E181" i="1" l="1"/>
  <c r="E35" i="1" s="1"/>
  <c r="E208" i="1" l="1"/>
</calcChain>
</file>

<file path=xl/sharedStrings.xml><?xml version="1.0" encoding="utf-8"?>
<sst xmlns="http://schemas.openxmlformats.org/spreadsheetml/2006/main" count="253" uniqueCount="155">
  <si>
    <t xml:space="preserve"> PLAN FINANSOWY DOCHODÓW STAROSTWA POWIATOWEGO W KIELCACH                                                                                               NA 2021 ROK</t>
  </si>
  <si>
    <t xml:space="preserve">stan na dzień 1 grudnia 2021r. </t>
  </si>
  <si>
    <t>Dział</t>
  </si>
  <si>
    <t>Rozdział</t>
  </si>
  <si>
    <t>§</t>
  </si>
  <si>
    <t>Treść</t>
  </si>
  <si>
    <t>Kwota</t>
  </si>
  <si>
    <t>WYDZIAŁ ROLNICTWA LEŚNICTWA I ŚRODOWISKA</t>
  </si>
  <si>
    <t>Administracja publiczna</t>
  </si>
  <si>
    <t>Starostwa powiatowe</t>
  </si>
  <si>
    <t>0690</t>
  </si>
  <si>
    <t>Wpływy z różnych opłat</t>
  </si>
  <si>
    <t>WYDZIAŁ KOMUNIKACJI I TRANSPORTU</t>
  </si>
  <si>
    <t>Dochody od osób prawnych, od osób fizycznych i od innych jednostek nieposiadających osobowości prawnej oraz wydatki związane z ich poborem</t>
  </si>
  <si>
    <t>Wpływy z innych opłat stanowiących dochody jednostek samorządu terytorialnego na podstawie ustaw</t>
  </si>
  <si>
    <t>0420</t>
  </si>
  <si>
    <t>Wpływy z opłaty komunikacyjnej</t>
  </si>
  <si>
    <t>0490</t>
  </si>
  <si>
    <t>Wpływy z innych lokalnych opłat pobieranych przez jednostki samorządu terytorialnego na podstawie odrębnych ustaw</t>
  </si>
  <si>
    <t>0570</t>
  </si>
  <si>
    <t xml:space="preserve">Wpływy z tytułu grzywien, mandatów i innych kar pieniężnych od osób fizycznych </t>
  </si>
  <si>
    <t>0650</t>
  </si>
  <si>
    <t>Wpływy z opłat za wydanie prawa jazdy</t>
  </si>
  <si>
    <t>WYDZIAŁ ORGANIZACJI I ZARZĄDZANIA KRYZYSOWEGO</t>
  </si>
  <si>
    <t>Gospodarka mieszkaniowa</t>
  </si>
  <si>
    <t>Gospodarka gruntami i nieruchomościami</t>
  </si>
  <si>
    <t>0750</t>
  </si>
  <si>
    <t xml:space="preserve">Wplywy z najmu i dzierżawy składników majątkowych Skarbu Państwa, jednostek samorządu terytorialnego lub innych jednostek zaliczanych do sektora finansów publicznych oraz innych umów o podobnym charakterze </t>
  </si>
  <si>
    <t>0830</t>
  </si>
  <si>
    <t xml:space="preserve">Wpływy z usług </t>
  </si>
  <si>
    <t>0870</t>
  </si>
  <si>
    <t xml:space="preserve">Wpływy ze sprzedaży składników majątkowych </t>
  </si>
  <si>
    <t>WYDZIAŁ GEODEZJI I GOSPODARKI NIERUCHOMOŚCIAMI</t>
  </si>
  <si>
    <t>0470</t>
  </si>
  <si>
    <r>
      <t>Wpływy</t>
    </r>
    <r>
      <rPr>
        <b/>
        <sz val="12"/>
        <rFont val="Times New Roman"/>
        <family val="1"/>
        <charset val="238"/>
      </rPr>
      <t xml:space="preserve"> </t>
    </r>
    <r>
      <rPr>
        <sz val="12"/>
        <rFont val="Times New Roman"/>
        <family val="1"/>
        <charset val="238"/>
      </rPr>
      <t>z opłat za trwały zarząd, użytkowanie i służebność</t>
    </r>
  </si>
  <si>
    <t>0550</t>
  </si>
  <si>
    <t>Wpływy z opłat z tytułu użytkowania wieczystego nieruchomości</t>
  </si>
  <si>
    <t>Działalnosć usługowa</t>
  </si>
  <si>
    <t>Zadania z zakresu geodezji i kartografii</t>
  </si>
  <si>
    <t>WYDZIAŁ BUDŻETU I FINANSÓW</t>
  </si>
  <si>
    <t>0630</t>
  </si>
  <si>
    <t xml:space="preserve">Wpływy z tytułu opłat i kosztów sądowych oraz innych opłat uiszczanych na rzecz Skarbu Państwa z tytułu postępowania sądowego i prokuratorskiego </t>
  </si>
  <si>
    <t>0460</t>
  </si>
  <si>
    <t>Wpływy z opłaty eksploatacyjnej</t>
  </si>
  <si>
    <t>0880</t>
  </si>
  <si>
    <t xml:space="preserve">Wpłaty z opłaty prolongacyjnej </t>
  </si>
  <si>
    <t>Udziały powiatów w podatkach stanowiących dochód budżetu państwa</t>
  </si>
  <si>
    <t>0010</t>
  </si>
  <si>
    <t>Wpływy z podatku dochodowego od osób fizycznych</t>
  </si>
  <si>
    <t>0020</t>
  </si>
  <si>
    <t>Wływy z podatku dochodowego od osób prawnych</t>
  </si>
  <si>
    <t>Różne rozliczenia</t>
  </si>
  <si>
    <t>Część oświatowa subwencji ogólnej dla jednostek samorządu terytorialnego</t>
  </si>
  <si>
    <t>Subwencje ogólne z budżetu państwa</t>
  </si>
  <si>
    <t xml:space="preserve">Uzupełnienie subwencji ogólnej dla jednostek samorządu teryrorialnego </t>
  </si>
  <si>
    <t xml:space="preserve">Środki na uzupełnienie dochodów powiatu </t>
  </si>
  <si>
    <t>Część wyrównawcza subwencji ogólnej dla powiatów</t>
  </si>
  <si>
    <t>Różne rozliczenia finansowe</t>
  </si>
  <si>
    <t>0920</t>
  </si>
  <si>
    <t>Wplywy z pozostałych odsetek</t>
  </si>
  <si>
    <t>Część równoważąca subwencji ogólnej dla powiatów</t>
  </si>
  <si>
    <t>Ochrona zdrowia</t>
  </si>
  <si>
    <t>Składki na ubezpieczenie zdrowotne oraz świadczenia dla osób nieobjętych obowiązkiem ubezpieczenia zdrowotnego</t>
  </si>
  <si>
    <t>Dotacje celowe otrzymane z budżetu państwa na zadania bieżące  z zakresu administracji rządowej oraz inne zadania zlecone ustawami realizowane przez powiat</t>
  </si>
  <si>
    <t>Pomoc społeczna</t>
  </si>
  <si>
    <t>Domy pomocy społecznej</t>
  </si>
  <si>
    <t>Dotacje celowe otrzymane z budżetu państwa na realizację bieżących zadań własnych powiatu</t>
  </si>
  <si>
    <t>Pozostała działalność</t>
  </si>
  <si>
    <t>Środki z Funduszu Przeciwdziałania COVID-19 na finansowanie lub dofinansowanie realizacji zadań związanych z przeciwdziałaniem COVID-19 (Fundusz Przeciwdziałania COVID-19)</t>
  </si>
  <si>
    <t>Środki na dofinansowanie własnych zadań bieżących gmin, powiatów (związków gmin,związków powiatowo-gminnych, związków powiatów), samorządów województw, pozyskane z innych źródeł (Fundusz Przeciwdziałania COVID-19)</t>
  </si>
  <si>
    <t>Rodzina</t>
  </si>
  <si>
    <t>Wspieranie rodziny</t>
  </si>
  <si>
    <t>Działalność placówek opiekuńczo-wychowawczych</t>
  </si>
  <si>
    <t xml:space="preserve">Dotacje celowe otrzymane z budżetu państwa na zadania bieżące z zakresu administracji rządowej zlecone powiatom, związane z realizacją dodatku wychowawczego, dodatku do zryczałtowanej kwoty oraz dodatku w wysokości świadczenia wychowawczego  stanowiących pomoc państwa w wychowaniu dzieci </t>
  </si>
  <si>
    <r>
      <t xml:space="preserve"> Koordynuje:</t>
    </r>
    <r>
      <rPr>
        <sz val="12"/>
        <rFont val="Times New Roman"/>
        <family val="1"/>
        <charset val="238"/>
      </rPr>
      <t xml:space="preserve">      Wydział Geodezji i Gospodarki Nieruchomościami</t>
    </r>
  </si>
  <si>
    <t>010</t>
  </si>
  <si>
    <t>Rolnictwo i łowiectwo</t>
  </si>
  <si>
    <t>01005</t>
  </si>
  <si>
    <t>Prace geodezyjno - urządzeniowe na potrzeby rolnictwa</t>
  </si>
  <si>
    <t>Dotacje celowe otrzymane z budżetu państwa na zadania bieżące z zakresu administracji rządowej oraz inne zadania zlecone ustawami realizowane przez powiat</t>
  </si>
  <si>
    <t>2110</t>
  </si>
  <si>
    <t>2360</t>
  </si>
  <si>
    <t>Dochody jednostek samorządu terytorialnego związane z realizacją zadań z zakresu administracji rządowej oraz innych zadań zleconych ustawami</t>
  </si>
  <si>
    <r>
      <t xml:space="preserve"> Koordynuje:</t>
    </r>
    <r>
      <rPr>
        <sz val="12"/>
        <rFont val="Times New Roman"/>
        <family val="1"/>
        <charset val="238"/>
      </rPr>
      <t xml:space="preserve">      Wydział Strategii i Rozwoju</t>
    </r>
  </si>
  <si>
    <t>Działalność usługowa</t>
  </si>
  <si>
    <t xml:space="preserve">Dotacje celowe w ramach programów finansowanych z udziałem środków europejskich oraz środków, o których mowa w art.. 5 ust. 3 pkt 5 lit. a i b ustawy, lub płatności w ramach budżetu środków europejskich, realizowanych przez jednostki samorządu terytorialnego. </t>
  </si>
  <si>
    <t>Oświata i wychowanie</t>
  </si>
  <si>
    <t>Dotacje celowe w ramach programów finansowanych z udziałem środków europejskich oraz środków, o których mowa w art. 5 ust. 1 pkt 3 oraz ust.3 pkt 5 i 6 ustawy lub płatności w ramach budżetu środków europejskich, z wyłączeniem dochodów klasyfikowanych w paragrafie 205</t>
  </si>
  <si>
    <t>Dotacje celowe w ramach programów finansowanych z udziałem środków europejskich oraz środków, o których mowa w art. 5 ust. 3 pkt 5 lit. a i b ustawy, lub płatności w ramach budżetu środków europejskich, realizowanych przez jednostki samorządu terytorialnego</t>
  </si>
  <si>
    <t xml:space="preserve">Środki na dofinansowanie własnych zadań bieżących gmin, powiatów (związków gmin, związków powiatowo-gminnych, związków powiatów), samorządów województw, pozyskane z innych źródeł </t>
  </si>
  <si>
    <t xml:space="preserve">Środki otrzymane od pozostałych jednostek zaliczanych do sektora finansów publicznych na realizację zadań bieżących dla jednostek zaliczanych do sektora finasów publicznych ( płatności ) </t>
  </si>
  <si>
    <t xml:space="preserve">Środki otrzymane od pozostałych jednostek zaliczanych do sektora finansów publicznych na realizację zadań bieżących dla jednostek zaliczanych do sektora finasów publicznych (współfinansowanie programów) </t>
  </si>
  <si>
    <t>Pozostałe zadania w zakresie polityki społecznej</t>
  </si>
  <si>
    <t xml:space="preserve">Dotacje celowe otrzymane od samorządu województwa na zadania bieżące realizowane na podstawie porozumień (umów) między jednostkami samorządu terytorialnego </t>
  </si>
  <si>
    <r>
      <t xml:space="preserve"> Koordynuje:</t>
    </r>
    <r>
      <rPr>
        <sz val="12"/>
        <rFont val="Times New Roman"/>
        <family val="1"/>
        <charset val="238"/>
      </rPr>
      <t xml:space="preserve">      Wydział Komunikacji i Transportu</t>
    </r>
  </si>
  <si>
    <t>Transport i łączność</t>
  </si>
  <si>
    <r>
      <t xml:space="preserve">Koordynuje:         </t>
    </r>
    <r>
      <rPr>
        <sz val="12"/>
        <rFont val="Times New Roman"/>
        <family val="1"/>
        <charset val="238"/>
      </rPr>
      <t>Wydział Organizacji i Zarządzania Kryzysowego</t>
    </r>
  </si>
  <si>
    <t>Kwalifikacja wojskowa</t>
  </si>
  <si>
    <t>Dotacje celowe otrzymane z budżetu państwa na zadania bieżące realizowane przez powiat na podstawie porozumień z organami administracji rządowej</t>
  </si>
  <si>
    <t>Dotacja celowa otrzymana z tytułu pomocy finansowej udzielanej między jednostkami samorządu terytorialnego na dofinansowanie własnych zadań bieżących</t>
  </si>
  <si>
    <t>Bezpieczeństwo publiczne i ochrona przeciwpożarowa</t>
  </si>
  <si>
    <t xml:space="preserve">Zarządzanie kryzysowe </t>
  </si>
  <si>
    <t>0970</t>
  </si>
  <si>
    <t>Wpływy z różnych dochodów (Fundusz Przeciwdziałania COVID-19)</t>
  </si>
  <si>
    <t>2180</t>
  </si>
  <si>
    <t>Wymiar sprawiedliwości</t>
  </si>
  <si>
    <t>Nieodpłatna pomoc prawna</t>
  </si>
  <si>
    <t>Dotacje celowe otrzymane z budżetu państwa na zadania bieżące z zakresu administracji rządowej oraz inne zadania zlecone ustawmi realizowane przez powiat</t>
  </si>
  <si>
    <r>
      <t xml:space="preserve">Koordynuje:         </t>
    </r>
    <r>
      <rPr>
        <sz val="12"/>
        <rFont val="Times New Roman"/>
        <family val="1"/>
        <charset val="238"/>
      </rPr>
      <t xml:space="preserve"> Wydział Rolnictwa, Leśnictwa i  Środowiska</t>
    </r>
  </si>
  <si>
    <t>020</t>
  </si>
  <si>
    <t>Leśnictwo</t>
  </si>
  <si>
    <t>02001</t>
  </si>
  <si>
    <t>Gospodarka leśna</t>
  </si>
  <si>
    <t>Środki otrzymane od pozostałych jednostkek zaliczanych do sektora finansów publicznych na realizację zadań bieżących jednostek zaliczanych do sektora finansów publicznych</t>
  </si>
  <si>
    <t>Gospodarka komunalna i ochrona środowiska</t>
  </si>
  <si>
    <t>Wpływy i wydatki związane z gromadzeniem środków z opłat i kar za korzystanie ze środowiska</t>
  </si>
  <si>
    <t xml:space="preserve">Wpływy z różnych opłat </t>
  </si>
  <si>
    <r>
      <t xml:space="preserve">Koordynuje:          </t>
    </r>
    <r>
      <rPr>
        <sz val="12"/>
        <rFont val="Times New Roman"/>
        <family val="1"/>
        <charset val="238"/>
      </rPr>
      <t>Wydział Edukacji, Kultury, Sportu i Turystyki</t>
    </r>
  </si>
  <si>
    <t>Technika</t>
  </si>
  <si>
    <t xml:space="preserve">Licea ogólnokształcące </t>
  </si>
  <si>
    <t xml:space="preserve">Zapewnienie uczniom prawa do bezpłatnego dostępu do podręczników, maeriałów edukacyjnych lub materiałów ćwiczeniowych </t>
  </si>
  <si>
    <t>Środki na dofinansowanie własnych zadań bieżących gmin, powiatów (związków gmin, związków powiatowo-gminnych, związków powiatów), samorządów województw, pozyskane z innych źródeł</t>
  </si>
  <si>
    <r>
      <t xml:space="preserve">Koordynuje:         </t>
    </r>
    <r>
      <rPr>
        <sz val="12"/>
        <rFont val="Times New Roman"/>
        <family val="1"/>
        <charset val="238"/>
      </rPr>
      <t xml:space="preserve"> Wydział Zdrowia i Polityki Społecznej</t>
    </r>
  </si>
  <si>
    <t xml:space="preserve">Szpitale ogólne </t>
  </si>
  <si>
    <t xml:space="preserve">Wpływy ze zwrotów niewykorzystanych dotacji oraz płatności, dotyczące dochodów majątkowych </t>
  </si>
  <si>
    <t>Zespoły do spraw orzekania o niepełnosprawności</t>
  </si>
  <si>
    <r>
      <t xml:space="preserve">Koordynuje:          </t>
    </r>
    <r>
      <rPr>
        <sz val="12"/>
        <rFont val="Times New Roman"/>
        <family val="1"/>
        <charset val="238"/>
      </rPr>
      <t>PCPR</t>
    </r>
  </si>
  <si>
    <t xml:space="preserve">Zadania w zakresie przeciwdziałania przemocy w rodzinie </t>
  </si>
  <si>
    <t>2007</t>
  </si>
  <si>
    <t>2009</t>
  </si>
  <si>
    <t>2057</t>
  </si>
  <si>
    <t>2059</t>
  </si>
  <si>
    <t>Rehabilitacja zawodowa i społeczna osób niepełnosprawnych</t>
  </si>
  <si>
    <t>2320</t>
  </si>
  <si>
    <t>Dotacje celowe otrzymane z powiatu na zadania bieżące realizowane na podstawie porozumień (umów) między jednostkami samorządu terytorialnego</t>
  </si>
  <si>
    <t>Rodziny zastępcze</t>
  </si>
  <si>
    <t>2900</t>
  </si>
  <si>
    <t>Wpływy z wpłat gmin i powiatów na rzecz innych jednostek samorządu terytorialnego oraz związków gmin, związków powiatowo-gminnych, związków powiatów, związków metropolitalnych na dofinansowanie zadań bieżących</t>
  </si>
  <si>
    <r>
      <t xml:space="preserve">Koordynuje:         </t>
    </r>
    <r>
      <rPr>
        <sz val="12"/>
        <rFont val="Times New Roman"/>
        <family val="1"/>
        <charset val="238"/>
      </rPr>
      <t>PINB</t>
    </r>
  </si>
  <si>
    <t>Nadzór budowlany</t>
  </si>
  <si>
    <r>
      <t xml:space="preserve">Koordynuje:          </t>
    </r>
    <r>
      <rPr>
        <sz val="12"/>
        <rFont val="Times New Roman"/>
        <family val="1"/>
        <charset val="238"/>
      </rPr>
      <t>Powiatowy Zarząd Dróg</t>
    </r>
  </si>
  <si>
    <t>Drogi publiczne powiatowe</t>
  </si>
  <si>
    <t>Środki otrzymane z państwowych funduszy celowych na realizację zadań bieżących jednostek sektora finansów publicznych</t>
  </si>
  <si>
    <t>Dotacja celowa otrzymana z tytułu pomocy finansowej udzielanej między jednostkami samorządu terytorialnego na dofinansowanie własnych zadań inwestycyjnych i zakupów inwestycyjnych</t>
  </si>
  <si>
    <t>Środki otrzymane z państwowych funduszy celowych na finansowanie lub dofinansowanie kosztów realizacji inwestycji i zakupów inwestycyjnych jednostek sektora finansów publicznych</t>
  </si>
  <si>
    <t>Koordynuje:          PUP</t>
  </si>
  <si>
    <t>Pomoc Społeczna</t>
  </si>
  <si>
    <t>Powiatowe urzędy pracy</t>
  </si>
  <si>
    <t>2690</t>
  </si>
  <si>
    <t xml:space="preserve">Środki z Funduszu Pracy otrzymane na realizację zadań wynikających z odrębnych ustaw </t>
  </si>
  <si>
    <t>6257</t>
  </si>
  <si>
    <t xml:space="preserve">Dotacje celowe w ramach programów finansowanych z udziałem środków europejskich oraz środków, o których mowa w art.. 5 ust. 3 pkt 5 lit. a i b ustawy, lub płatności w ramach budżetu środków europejskich realizowanych przez jednostki samorządu terytorialnego </t>
  </si>
  <si>
    <t>6259</t>
  </si>
  <si>
    <t>OGÓŁEM:</t>
  </si>
  <si>
    <r>
      <t xml:space="preserve">                                                                                                        Z</t>
    </r>
    <r>
      <rPr>
        <sz val="12"/>
        <rFont val="Arial"/>
        <family val="2"/>
        <charset val="238"/>
      </rPr>
      <t>ałącznik Nr 1                                                                                                                                                                                                                     do Zarządzenia  nr 222/2021                                                                                                                                                         Starosty Kieleckiego z dnia 1 grudnia 2021 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</si>
</sst>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Czcionka tekstu podstawowego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sz val="10"/>
      <name val="Arial CE"/>
      <charset val="238"/>
    </font>
    <font>
      <b/>
      <sz val="14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u val="double"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u/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9"/>
      <color theme="1"/>
      <name val="Czcionka tekstu podstawowego"/>
      <family val="2"/>
      <charset val="238"/>
    </font>
    <font>
      <sz val="10"/>
      <color theme="1"/>
      <name val="Czcionka tekstu podstawowego"/>
      <family val="2"/>
      <charset val="238"/>
    </font>
    <font>
      <sz val="1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i/>
      <sz val="12"/>
      <color indexed="8"/>
      <name val="Times New Roman"/>
      <family val="1"/>
      <charset val="238"/>
    </font>
    <font>
      <sz val="8"/>
      <color theme="1"/>
      <name val="Czcionka tekstu podstawowego"/>
      <family val="2"/>
      <charset val="238"/>
    </font>
    <font>
      <b/>
      <i/>
      <sz val="12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128">
    <xf numFmtId="0" fontId="0" fillId="0" borderId="0" xfId="0"/>
    <xf numFmtId="4" fontId="0" fillId="0" borderId="0" xfId="0" applyNumberFormat="1"/>
    <xf numFmtId="0" fontId="0" fillId="0" borderId="0" xfId="0" applyFill="1"/>
    <xf numFmtId="4" fontId="0" fillId="0" borderId="0" xfId="0" applyNumberFormat="1" applyFill="1"/>
    <xf numFmtId="0" fontId="8" fillId="0" borderId="4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4" fontId="9" fillId="2" borderId="6" xfId="0" applyNumberFormat="1" applyFont="1" applyFill="1" applyBorder="1" applyAlignment="1">
      <alignment vertical="center" wrapText="1"/>
    </xf>
    <xf numFmtId="0" fontId="6" fillId="3" borderId="4" xfId="1" quotePrefix="1" applyFont="1" applyFill="1" applyBorder="1" applyAlignment="1">
      <alignment horizontal="center" vertical="center"/>
    </xf>
    <xf numFmtId="4" fontId="6" fillId="3" borderId="6" xfId="1" applyNumberFormat="1" applyFont="1" applyFill="1" applyBorder="1" applyAlignment="1">
      <alignment horizontal="right" vertical="center" wrapText="1"/>
    </xf>
    <xf numFmtId="0" fontId="6" fillId="3" borderId="4" xfId="1" applyFont="1" applyFill="1" applyBorder="1" applyAlignment="1">
      <alignment horizontal="center" vertical="center"/>
    </xf>
    <xf numFmtId="0" fontId="6" fillId="3" borderId="5" xfId="1" quotePrefix="1" applyFont="1" applyFill="1" applyBorder="1" applyAlignment="1">
      <alignment horizontal="center" vertical="center"/>
    </xf>
    <xf numFmtId="4" fontId="10" fillId="3" borderId="6" xfId="1" applyNumberFormat="1" applyFont="1" applyFill="1" applyBorder="1" applyAlignment="1">
      <alignment horizontal="right" vertical="center" wrapText="1"/>
    </xf>
    <xf numFmtId="0" fontId="10" fillId="3" borderId="4" xfId="1" applyFont="1" applyFill="1" applyBorder="1" applyAlignment="1">
      <alignment horizontal="center" vertical="center"/>
    </xf>
    <xf numFmtId="0" fontId="8" fillId="3" borderId="5" xfId="1" applyFont="1" applyFill="1" applyBorder="1" applyAlignment="1">
      <alignment horizontal="center" vertical="center"/>
    </xf>
    <xf numFmtId="0" fontId="8" fillId="3" borderId="5" xfId="1" quotePrefix="1" applyFont="1" applyFill="1" applyBorder="1" applyAlignment="1">
      <alignment horizontal="center" vertical="center"/>
    </xf>
    <xf numFmtId="0" fontId="8" fillId="3" borderId="5" xfId="1" applyFont="1" applyFill="1" applyBorder="1" applyAlignment="1">
      <alignment vertical="center" wrapText="1"/>
    </xf>
    <xf numFmtId="4" fontId="8" fillId="3" borderId="6" xfId="1" applyNumberFormat="1" applyFont="1" applyFill="1" applyBorder="1" applyAlignment="1">
      <alignment horizontal="right" vertical="center" wrapText="1"/>
    </xf>
    <xf numFmtId="4" fontId="9" fillId="4" borderId="6" xfId="0" applyNumberFormat="1" applyFont="1" applyFill="1" applyBorder="1" applyAlignment="1">
      <alignment vertical="center" wrapText="1"/>
    </xf>
    <xf numFmtId="49" fontId="8" fillId="3" borderId="5" xfId="1" quotePrefix="1" applyNumberFormat="1" applyFont="1" applyFill="1" applyBorder="1" applyAlignment="1">
      <alignment horizontal="center" vertical="center"/>
    </xf>
    <xf numFmtId="49" fontId="8" fillId="3" borderId="5" xfId="1" applyNumberFormat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/>
    </xf>
    <xf numFmtId="49" fontId="8" fillId="3" borderId="5" xfId="1" applyNumberFormat="1" applyFont="1" applyFill="1" applyBorder="1" applyAlignment="1">
      <alignment horizontal="left" vertical="center"/>
    </xf>
    <xf numFmtId="0" fontId="8" fillId="3" borderId="9" xfId="1" applyFont="1" applyFill="1" applyBorder="1" applyAlignment="1">
      <alignment horizontal="left" vertical="center"/>
    </xf>
    <xf numFmtId="0" fontId="6" fillId="3" borderId="7" xfId="1" quotePrefix="1" applyFont="1" applyFill="1" applyBorder="1" applyAlignment="1">
      <alignment horizontal="center" vertical="center"/>
    </xf>
    <xf numFmtId="4" fontId="10" fillId="3" borderId="6" xfId="1" quotePrefix="1" applyNumberFormat="1" applyFont="1" applyFill="1" applyBorder="1" applyAlignment="1">
      <alignment vertical="center"/>
    </xf>
    <xf numFmtId="4" fontId="11" fillId="0" borderId="0" xfId="0" applyNumberFormat="1" applyFont="1"/>
    <xf numFmtId="0" fontId="0" fillId="3" borderId="0" xfId="0" applyFill="1"/>
    <xf numFmtId="4" fontId="12" fillId="0" borderId="0" xfId="0" applyNumberFormat="1" applyFont="1"/>
    <xf numFmtId="0" fontId="6" fillId="3" borderId="5" xfId="1" applyFont="1" applyFill="1" applyBorder="1" applyAlignment="1">
      <alignment horizontal="center" vertical="center" wrapText="1"/>
    </xf>
    <xf numFmtId="0" fontId="6" fillId="3" borderId="5" xfId="1" applyFont="1" applyFill="1" applyBorder="1" applyAlignment="1">
      <alignment horizontal="left" vertical="center" wrapText="1"/>
    </xf>
    <xf numFmtId="0" fontId="8" fillId="3" borderId="5" xfId="1" applyFont="1" applyFill="1" applyBorder="1" applyAlignment="1">
      <alignment horizontal="left" vertical="center" wrapText="1"/>
    </xf>
    <xf numFmtId="0" fontId="0" fillId="3" borderId="0" xfId="0" applyFill="1" applyAlignment="1">
      <alignment wrapText="1"/>
    </xf>
    <xf numFmtId="0" fontId="8" fillId="0" borderId="5" xfId="1" applyFont="1" applyFill="1" applyBorder="1" applyAlignment="1">
      <alignment horizontal="left" vertical="center" wrapText="1"/>
    </xf>
    <xf numFmtId="4" fontId="8" fillId="3" borderId="6" xfId="1" applyNumberFormat="1" applyFont="1" applyFill="1" applyBorder="1" applyAlignment="1">
      <alignment horizontal="right" vertical="center"/>
    </xf>
    <xf numFmtId="0" fontId="8" fillId="0" borderId="5" xfId="1" applyFont="1" applyFill="1" applyBorder="1" applyAlignment="1">
      <alignment vertical="center" wrapText="1"/>
    </xf>
    <xf numFmtId="0" fontId="13" fillId="3" borderId="5" xfId="1" applyFont="1" applyFill="1" applyBorder="1" applyAlignment="1">
      <alignment horizontal="left" vertical="center" wrapText="1"/>
    </xf>
    <xf numFmtId="0" fontId="8" fillId="3" borderId="4" xfId="0" applyFont="1" applyFill="1" applyBorder="1" applyAlignment="1"/>
    <xf numFmtId="4" fontId="6" fillId="4" borderId="6" xfId="0" applyNumberFormat="1" applyFont="1" applyFill="1" applyBorder="1" applyAlignment="1"/>
    <xf numFmtId="4" fontId="10" fillId="3" borderId="6" xfId="1" applyNumberFormat="1" applyFont="1" applyFill="1" applyBorder="1" applyAlignment="1">
      <alignment horizontal="right" vertical="center"/>
    </xf>
    <xf numFmtId="4" fontId="6" fillId="4" borderId="6" xfId="1" applyNumberFormat="1" applyFont="1" applyFill="1" applyBorder="1" applyAlignment="1">
      <alignment horizontal="right" vertical="center" wrapText="1"/>
    </xf>
    <xf numFmtId="0" fontId="8" fillId="3" borderId="5" xfId="1" applyFont="1" applyFill="1" applyBorder="1" applyAlignment="1">
      <alignment horizontal="center" vertical="center" wrapText="1"/>
    </xf>
    <xf numFmtId="0" fontId="8" fillId="3" borderId="9" xfId="1" applyFont="1" applyFill="1" applyBorder="1" applyAlignment="1">
      <alignment horizontal="left" vertical="center" wrapText="1"/>
    </xf>
    <xf numFmtId="0" fontId="8" fillId="3" borderId="5" xfId="0" applyNumberFormat="1" applyFont="1" applyFill="1" applyBorder="1" applyAlignment="1">
      <alignment horizontal="left" wrapText="1"/>
    </xf>
    <xf numFmtId="0" fontId="14" fillId="0" borderId="0" xfId="0" applyFont="1" applyAlignment="1">
      <alignment vertical="top" wrapText="1"/>
    </xf>
    <xf numFmtId="0" fontId="8" fillId="0" borderId="5" xfId="1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14" fillId="0" borderId="5" xfId="0" applyFont="1" applyBorder="1" applyAlignment="1">
      <alignment vertical="center" wrapText="1"/>
    </xf>
    <xf numFmtId="0" fontId="8" fillId="3" borderId="5" xfId="0" applyNumberFormat="1" applyFont="1" applyFill="1" applyBorder="1" applyAlignment="1">
      <alignment horizontal="left" vertical="center" wrapText="1"/>
    </xf>
    <xf numFmtId="0" fontId="8" fillId="3" borderId="4" xfId="0" applyFont="1" applyFill="1" applyBorder="1"/>
    <xf numFmtId="0" fontId="15" fillId="3" borderId="4" xfId="0" applyFont="1" applyFill="1" applyBorder="1" applyAlignment="1">
      <alignment horizontal="center" vertical="top" wrapText="1"/>
    </xf>
    <xf numFmtId="0" fontId="16" fillId="3" borderId="4" xfId="0" applyFont="1" applyFill="1" applyBorder="1" applyAlignment="1">
      <alignment horizontal="center" vertical="top" wrapText="1"/>
    </xf>
    <xf numFmtId="0" fontId="15" fillId="3" borderId="5" xfId="0" applyFont="1" applyFill="1" applyBorder="1" applyAlignment="1">
      <alignment horizontal="center" vertical="top" wrapText="1"/>
    </xf>
    <xf numFmtId="0" fontId="12" fillId="3" borderId="0" xfId="0" applyFont="1" applyFill="1" applyAlignment="1">
      <alignment wrapText="1"/>
    </xf>
    <xf numFmtId="0" fontId="6" fillId="3" borderId="4" xfId="0" applyFont="1" applyFill="1" applyBorder="1" applyAlignment="1">
      <alignment horizontal="center"/>
    </xf>
    <xf numFmtId="4" fontId="8" fillId="3" borderId="6" xfId="0" applyNumberFormat="1" applyFont="1" applyFill="1" applyBorder="1" applyAlignment="1"/>
    <xf numFmtId="0" fontId="6" fillId="3" borderId="5" xfId="0" applyFont="1" applyFill="1" applyBorder="1" applyAlignment="1">
      <alignment horizontal="center" vertical="center"/>
    </xf>
    <xf numFmtId="4" fontId="10" fillId="3" borderId="6" xfId="0" applyNumberFormat="1" applyFont="1" applyFill="1" applyBorder="1" applyAlignment="1">
      <alignment vertical="center"/>
    </xf>
    <xf numFmtId="0" fontId="6" fillId="3" borderId="5" xfId="0" applyFont="1" applyFill="1" applyBorder="1" applyAlignment="1">
      <alignment horizontal="center"/>
    </xf>
    <xf numFmtId="4" fontId="8" fillId="3" borderId="6" xfId="0" applyNumberFormat="1" applyFont="1" applyFill="1" applyBorder="1" applyAlignment="1">
      <alignment vertical="center"/>
    </xf>
    <xf numFmtId="4" fontId="10" fillId="3" borderId="6" xfId="0" applyNumberFormat="1" applyFont="1" applyFill="1" applyBorder="1" applyAlignment="1"/>
    <xf numFmtId="0" fontId="8" fillId="3" borderId="5" xfId="0" applyFont="1" applyFill="1" applyBorder="1" applyAlignment="1">
      <alignment horizontal="center" vertical="center"/>
    </xf>
    <xf numFmtId="4" fontId="10" fillId="3" borderId="6" xfId="1" applyNumberFormat="1" applyFont="1" applyFill="1" applyBorder="1" applyAlignment="1">
      <alignment vertical="center" wrapText="1"/>
    </xf>
    <xf numFmtId="4" fontId="8" fillId="3" borderId="6" xfId="1" applyNumberFormat="1" applyFont="1" applyFill="1" applyBorder="1" applyAlignment="1">
      <alignment vertical="center" wrapText="1"/>
    </xf>
    <xf numFmtId="4" fontId="18" fillId="0" borderId="0" xfId="0" applyNumberFormat="1" applyFont="1"/>
    <xf numFmtId="4" fontId="8" fillId="0" borderId="6" xfId="1" applyNumberFormat="1" applyFont="1" applyFill="1" applyBorder="1" applyAlignment="1">
      <alignment horizontal="right" vertical="center" wrapText="1"/>
    </xf>
    <xf numFmtId="4" fontId="19" fillId="4" borderId="6" xfId="0" applyNumberFormat="1" applyFont="1" applyFill="1" applyBorder="1" applyAlignment="1"/>
    <xf numFmtId="0" fontId="8" fillId="3" borderId="5" xfId="0" applyFont="1" applyFill="1" applyBorder="1" applyAlignment="1">
      <alignment horizontal="left"/>
    </xf>
    <xf numFmtId="0" fontId="8" fillId="0" borderId="5" xfId="0" applyFont="1" applyFill="1" applyBorder="1" applyAlignment="1">
      <alignment horizontal="center" vertical="center"/>
    </xf>
    <xf numFmtId="0" fontId="14" fillId="0" borderId="5" xfId="0" applyFont="1" applyBorder="1" applyAlignment="1">
      <alignment wrapText="1"/>
    </xf>
    <xf numFmtId="0" fontId="6" fillId="3" borderId="10" xfId="1" quotePrefix="1" applyFont="1" applyFill="1" applyBorder="1" applyAlignment="1">
      <alignment horizontal="center" vertical="center"/>
    </xf>
    <xf numFmtId="0" fontId="6" fillId="3" borderId="11" xfId="1" applyFont="1" applyFill="1" applyBorder="1" applyAlignment="1">
      <alignment horizontal="left" vertical="center" wrapText="1"/>
    </xf>
    <xf numFmtId="4" fontId="8" fillId="3" borderId="12" xfId="1" applyNumberFormat="1" applyFont="1" applyFill="1" applyBorder="1" applyAlignment="1">
      <alignment horizontal="right" vertical="center" wrapText="1"/>
    </xf>
    <xf numFmtId="4" fontId="6" fillId="4" borderId="15" xfId="1" applyNumberFormat="1" applyFont="1" applyFill="1" applyBorder="1" applyAlignment="1">
      <alignment vertical="center"/>
    </xf>
    <xf numFmtId="0" fontId="10" fillId="3" borderId="7" xfId="0" applyFont="1" applyFill="1" applyBorder="1" applyAlignment="1">
      <alignment horizontal="left"/>
    </xf>
    <xf numFmtId="0" fontId="10" fillId="3" borderId="9" xfId="0" applyFont="1" applyFill="1" applyBorder="1" applyAlignment="1">
      <alignment horizontal="left"/>
    </xf>
    <xf numFmtId="0" fontId="6" fillId="3" borderId="5" xfId="1" applyFont="1" applyFill="1" applyBorder="1" applyAlignment="1">
      <alignment horizontal="left" vertical="center" wrapText="1"/>
    </xf>
    <xf numFmtId="0" fontId="10" fillId="3" borderId="7" xfId="1" applyFont="1" applyFill="1" applyBorder="1" applyAlignment="1">
      <alignment horizontal="left" vertical="center" wrapText="1"/>
    </xf>
    <xf numFmtId="0" fontId="10" fillId="3" borderId="9" xfId="1" applyFont="1" applyFill="1" applyBorder="1" applyAlignment="1">
      <alignment horizontal="left" vertical="center" wrapText="1"/>
    </xf>
    <xf numFmtId="0" fontId="6" fillId="4" borderId="13" xfId="1" applyFont="1" applyFill="1" applyBorder="1" applyAlignment="1">
      <alignment horizontal="center" vertical="center"/>
    </xf>
    <xf numFmtId="0" fontId="6" fillId="4" borderId="14" xfId="1" applyFont="1" applyFill="1" applyBorder="1" applyAlignment="1">
      <alignment horizontal="center" vertical="center"/>
    </xf>
    <xf numFmtId="0" fontId="10" fillId="3" borderId="5" xfId="1" applyFont="1" applyFill="1" applyBorder="1" applyAlignment="1">
      <alignment horizontal="left" vertical="center" wrapText="1"/>
    </xf>
    <xf numFmtId="0" fontId="10" fillId="4" borderId="5" xfId="0" applyFont="1" applyFill="1" applyBorder="1" applyAlignment="1">
      <alignment horizontal="left"/>
    </xf>
    <xf numFmtId="0" fontId="6" fillId="3" borderId="7" xfId="0" applyFont="1" applyFill="1" applyBorder="1" applyAlignment="1">
      <alignment horizontal="left"/>
    </xf>
    <xf numFmtId="0" fontId="6" fillId="3" borderId="8" xfId="0" applyFont="1" applyFill="1" applyBorder="1" applyAlignment="1">
      <alignment horizontal="left"/>
    </xf>
    <xf numFmtId="0" fontId="6" fillId="3" borderId="9" xfId="0" applyFont="1" applyFill="1" applyBorder="1" applyAlignment="1">
      <alignment horizontal="left"/>
    </xf>
    <xf numFmtId="49" fontId="10" fillId="3" borderId="7" xfId="1" applyNumberFormat="1" applyFont="1" applyFill="1" applyBorder="1" applyAlignment="1">
      <alignment horizontal="left" vertical="center"/>
    </xf>
    <xf numFmtId="49" fontId="10" fillId="3" borderId="9" xfId="1" applyNumberFormat="1" applyFont="1" applyFill="1" applyBorder="1" applyAlignment="1">
      <alignment horizontal="left" vertical="center"/>
    </xf>
    <xf numFmtId="0" fontId="6" fillId="3" borderId="7" xfId="1" applyFont="1" applyFill="1" applyBorder="1" applyAlignment="1">
      <alignment horizontal="left" vertical="center"/>
    </xf>
    <xf numFmtId="0" fontId="6" fillId="3" borderId="8" xfId="1" applyFont="1" applyFill="1" applyBorder="1" applyAlignment="1">
      <alignment horizontal="left" vertical="center"/>
    </xf>
    <xf numFmtId="0" fontId="6" fillId="3" borderId="9" xfId="1" applyFont="1" applyFill="1" applyBorder="1" applyAlignment="1">
      <alignment horizontal="left" vertical="center"/>
    </xf>
    <xf numFmtId="0" fontId="6" fillId="3" borderId="7" xfId="1" quotePrefix="1" applyFont="1" applyFill="1" applyBorder="1" applyAlignment="1">
      <alignment horizontal="left" vertical="center"/>
    </xf>
    <xf numFmtId="0" fontId="6" fillId="3" borderId="8" xfId="1" quotePrefix="1" applyFont="1" applyFill="1" applyBorder="1" applyAlignment="1">
      <alignment horizontal="left" vertical="center"/>
    </xf>
    <xf numFmtId="0" fontId="6" fillId="3" borderId="9" xfId="1" quotePrefix="1" applyFont="1" applyFill="1" applyBorder="1" applyAlignment="1">
      <alignment horizontal="left" vertical="center"/>
    </xf>
    <xf numFmtId="0" fontId="10" fillId="3" borderId="7" xfId="0" applyFont="1" applyFill="1" applyBorder="1" applyAlignment="1">
      <alignment horizontal="left" wrapText="1"/>
    </xf>
    <xf numFmtId="0" fontId="10" fillId="3" borderId="9" xfId="0" applyFont="1" applyFill="1" applyBorder="1" applyAlignment="1">
      <alignment horizontal="left" wrapText="1"/>
    </xf>
    <xf numFmtId="0" fontId="6" fillId="3" borderId="7" xfId="1" applyFont="1" applyFill="1" applyBorder="1" applyAlignment="1">
      <alignment horizontal="left" vertical="center" wrapText="1"/>
    </xf>
    <xf numFmtId="0" fontId="6" fillId="3" borderId="8" xfId="1" applyFont="1" applyFill="1" applyBorder="1" applyAlignment="1">
      <alignment horizontal="left" vertical="center" wrapText="1"/>
    </xf>
    <xf numFmtId="0" fontId="6" fillId="3" borderId="9" xfId="1" applyFont="1" applyFill="1" applyBorder="1" applyAlignment="1">
      <alignment horizontal="left" vertical="center" wrapText="1"/>
    </xf>
    <xf numFmtId="0" fontId="15" fillId="3" borderId="7" xfId="0" applyFont="1" applyFill="1" applyBorder="1" applyAlignment="1">
      <alignment horizontal="left" vertical="top" wrapText="1"/>
    </xf>
    <xf numFmtId="0" fontId="15" fillId="3" borderId="8" xfId="0" applyFont="1" applyFill="1" applyBorder="1" applyAlignment="1">
      <alignment horizontal="left" vertical="top" wrapText="1"/>
    </xf>
    <xf numFmtId="0" fontId="15" fillId="3" borderId="9" xfId="0" applyFont="1" applyFill="1" applyBorder="1" applyAlignment="1">
      <alignment horizontal="left" vertical="top" wrapText="1"/>
    </xf>
    <xf numFmtId="0" fontId="17" fillId="3" borderId="7" xfId="0" applyFont="1" applyFill="1" applyBorder="1" applyAlignment="1">
      <alignment horizontal="left" vertical="top" wrapText="1"/>
    </xf>
    <xf numFmtId="0" fontId="17" fillId="3" borderId="9" xfId="0" applyFont="1" applyFill="1" applyBorder="1" applyAlignment="1">
      <alignment horizontal="left" vertical="top" wrapText="1"/>
    </xf>
    <xf numFmtId="0" fontId="10" fillId="4" borderId="7" xfId="0" applyFont="1" applyFill="1" applyBorder="1" applyAlignment="1">
      <alignment horizontal="left"/>
    </xf>
    <xf numFmtId="0" fontId="10" fillId="4" borderId="8" xfId="0" applyFont="1" applyFill="1" applyBorder="1" applyAlignment="1">
      <alignment horizontal="left"/>
    </xf>
    <xf numFmtId="0" fontId="10" fillId="4" borderId="9" xfId="0" applyFont="1" applyFill="1" applyBorder="1" applyAlignment="1">
      <alignment horizontal="left"/>
    </xf>
    <xf numFmtId="0" fontId="8" fillId="4" borderId="5" xfId="0" applyFont="1" applyFill="1" applyBorder="1" applyAlignment="1">
      <alignment horizontal="left"/>
    </xf>
    <xf numFmtId="0" fontId="10" fillId="3" borderId="7" xfId="1" quotePrefix="1" applyFont="1" applyFill="1" applyBorder="1" applyAlignment="1">
      <alignment horizontal="left" vertical="center"/>
    </xf>
    <xf numFmtId="0" fontId="10" fillId="3" borderId="8" xfId="1" quotePrefix="1" applyFont="1" applyFill="1" applyBorder="1" applyAlignment="1">
      <alignment horizontal="left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10" fillId="3" borderId="7" xfId="1" applyFont="1" applyFill="1" applyBorder="1" applyAlignment="1">
      <alignment horizontal="left" vertical="center"/>
    </xf>
    <xf numFmtId="0" fontId="10" fillId="3" borderId="9" xfId="1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1" fillId="0" borderId="0" xfId="0" applyFont="1" applyAlignment="1">
      <alignment horizontal="right" vertical="center" wrapText="1"/>
    </xf>
    <xf numFmtId="0" fontId="4" fillId="0" borderId="0" xfId="1" applyFont="1" applyFill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</cellXfs>
  <cellStyles count="2">
    <cellStyle name="Normalny" xfId="0" builtinId="0"/>
    <cellStyle name="Normalny_Arkusz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3"/>
  <sheetViews>
    <sheetView tabSelected="1" zoomScale="90" zoomScaleNormal="90" zoomScaleSheetLayoutView="90" workbookViewId="0">
      <selection activeCell="H15" sqref="H14:H15"/>
    </sheetView>
  </sheetViews>
  <sheetFormatPr defaultRowHeight="14.25"/>
  <cols>
    <col min="1" max="1" width="6.375" customWidth="1"/>
    <col min="2" max="2" width="8.75" customWidth="1"/>
    <col min="3" max="3" width="5.375" customWidth="1"/>
    <col min="4" max="4" width="78.75" customWidth="1"/>
    <col min="5" max="5" width="14.75" customWidth="1"/>
    <col min="7" max="7" width="11.5" customWidth="1"/>
    <col min="8" max="8" width="13.75" style="1" customWidth="1"/>
    <col min="9" max="9" width="12.625" style="1" customWidth="1"/>
  </cols>
  <sheetData>
    <row r="1" spans="1:9" ht="57.75" customHeight="1">
      <c r="D1" s="119" t="s">
        <v>154</v>
      </c>
      <c r="E1" s="119"/>
    </row>
    <row r="2" spans="1:9" s="2" customFormat="1" ht="40.5" customHeight="1">
      <c r="A2" s="120" t="s">
        <v>0</v>
      </c>
      <c r="B2" s="120"/>
      <c r="C2" s="120"/>
      <c r="D2" s="120"/>
      <c r="E2" s="120"/>
    </row>
    <row r="3" spans="1:9" ht="16.5" thickBot="1">
      <c r="A3" s="121" t="s">
        <v>1</v>
      </c>
      <c r="B3" s="121"/>
      <c r="C3" s="121"/>
      <c r="D3" s="121"/>
      <c r="E3" s="121"/>
      <c r="H3"/>
      <c r="I3"/>
    </row>
    <row r="4" spans="1:9" ht="14.25" customHeight="1">
      <c r="A4" s="122" t="s">
        <v>2</v>
      </c>
      <c r="B4" s="124" t="s">
        <v>3</v>
      </c>
      <c r="C4" s="124" t="s">
        <v>4</v>
      </c>
      <c r="D4" s="124" t="s">
        <v>5</v>
      </c>
      <c r="E4" s="126" t="s">
        <v>6</v>
      </c>
      <c r="H4"/>
      <c r="I4"/>
    </row>
    <row r="5" spans="1:9" ht="10.5" customHeight="1">
      <c r="A5" s="123"/>
      <c r="B5" s="125"/>
      <c r="C5" s="125"/>
      <c r="D5" s="125"/>
      <c r="E5" s="127"/>
      <c r="H5"/>
      <c r="I5"/>
    </row>
    <row r="6" spans="1:9" ht="15.75">
      <c r="A6" s="4">
        <v>1</v>
      </c>
      <c r="B6" s="5">
        <v>2</v>
      </c>
      <c r="C6" s="5">
        <v>3</v>
      </c>
      <c r="D6" s="6">
        <v>4</v>
      </c>
      <c r="E6" s="7">
        <v>5</v>
      </c>
      <c r="H6"/>
      <c r="I6"/>
    </row>
    <row r="7" spans="1:9" ht="15.75">
      <c r="A7" s="117" t="s">
        <v>7</v>
      </c>
      <c r="B7" s="118"/>
      <c r="C7" s="118"/>
      <c r="D7" s="118"/>
      <c r="E7" s="8">
        <f>SUM(E8)</f>
        <v>3000</v>
      </c>
      <c r="G7" s="1"/>
      <c r="H7"/>
      <c r="I7"/>
    </row>
    <row r="8" spans="1:9" ht="15.75">
      <c r="A8" s="9">
        <v>750</v>
      </c>
      <c r="B8" s="77" t="s">
        <v>8</v>
      </c>
      <c r="C8" s="77"/>
      <c r="D8" s="77"/>
      <c r="E8" s="10">
        <f>SUM(E9)</f>
        <v>3000</v>
      </c>
      <c r="G8" s="1"/>
      <c r="H8"/>
      <c r="I8"/>
    </row>
    <row r="9" spans="1:9" ht="15.75">
      <c r="A9" s="11"/>
      <c r="B9" s="12">
        <v>75020</v>
      </c>
      <c r="C9" s="82" t="s">
        <v>9</v>
      </c>
      <c r="D9" s="82"/>
      <c r="E9" s="13">
        <f>SUM(E10)</f>
        <v>3000</v>
      </c>
      <c r="G9" s="1"/>
      <c r="H9"/>
      <c r="I9"/>
    </row>
    <row r="10" spans="1:9" ht="18.75" customHeight="1">
      <c r="A10" s="14"/>
      <c r="B10" s="15"/>
      <c r="C10" s="16" t="s">
        <v>10</v>
      </c>
      <c r="D10" s="17" t="s">
        <v>11</v>
      </c>
      <c r="E10" s="18">
        <f>3000</f>
        <v>3000</v>
      </c>
      <c r="G10" s="1"/>
      <c r="H10"/>
      <c r="I10"/>
    </row>
    <row r="11" spans="1:9" ht="15.75">
      <c r="A11" s="111" t="s">
        <v>12</v>
      </c>
      <c r="B11" s="112"/>
      <c r="C11" s="112"/>
      <c r="D11" s="112"/>
      <c r="E11" s="19">
        <f>SUM(E12)</f>
        <v>4625000</v>
      </c>
      <c r="G11" s="1"/>
      <c r="H11"/>
      <c r="I11"/>
    </row>
    <row r="12" spans="1:9" ht="33" customHeight="1">
      <c r="A12" s="9">
        <v>756</v>
      </c>
      <c r="B12" s="77" t="s">
        <v>13</v>
      </c>
      <c r="C12" s="77"/>
      <c r="D12" s="77"/>
      <c r="E12" s="10">
        <f>SUM(E13)</f>
        <v>4625000</v>
      </c>
      <c r="G12" s="1"/>
      <c r="H12"/>
      <c r="I12"/>
    </row>
    <row r="13" spans="1:9" ht="19.5" customHeight="1">
      <c r="A13" s="11"/>
      <c r="B13" s="12">
        <v>75618</v>
      </c>
      <c r="C13" s="82" t="s">
        <v>14</v>
      </c>
      <c r="D13" s="82"/>
      <c r="E13" s="13">
        <f>SUM(E14:E17)</f>
        <v>4625000</v>
      </c>
      <c r="G13" s="1"/>
      <c r="H13"/>
      <c r="I13"/>
    </row>
    <row r="14" spans="1:9" ht="19.5" customHeight="1">
      <c r="A14" s="14"/>
      <c r="B14" s="15"/>
      <c r="C14" s="16" t="s">
        <v>15</v>
      </c>
      <c r="D14" s="17" t="s">
        <v>16</v>
      </c>
      <c r="E14" s="18">
        <f>3500000+600000+90000</f>
        <v>4190000</v>
      </c>
      <c r="G14" s="1"/>
      <c r="H14"/>
      <c r="I14"/>
    </row>
    <row r="15" spans="1:9" ht="38.25" customHeight="1">
      <c r="A15" s="14"/>
      <c r="B15" s="15"/>
      <c r="C15" s="20" t="s">
        <v>17</v>
      </c>
      <c r="D15" s="17" t="s">
        <v>18</v>
      </c>
      <c r="E15" s="18">
        <v>15000</v>
      </c>
      <c r="G15" s="1"/>
      <c r="H15"/>
      <c r="I15"/>
    </row>
    <row r="16" spans="1:9" ht="38.25" customHeight="1">
      <c r="A16" s="14"/>
      <c r="B16" s="15"/>
      <c r="C16" s="20" t="s">
        <v>19</v>
      </c>
      <c r="D16" s="17" t="s">
        <v>20</v>
      </c>
      <c r="E16" s="18">
        <v>20000</v>
      </c>
      <c r="G16" s="1"/>
      <c r="H16"/>
      <c r="I16"/>
    </row>
    <row r="17" spans="1:9" ht="19.5" customHeight="1">
      <c r="A17" s="14"/>
      <c r="B17" s="15"/>
      <c r="C17" s="20" t="s">
        <v>21</v>
      </c>
      <c r="D17" s="17" t="s">
        <v>22</v>
      </c>
      <c r="E17" s="18">
        <v>400000</v>
      </c>
      <c r="G17" s="1"/>
      <c r="H17"/>
      <c r="I17"/>
    </row>
    <row r="18" spans="1:9" ht="19.5" customHeight="1">
      <c r="A18" s="113" t="s">
        <v>23</v>
      </c>
      <c r="B18" s="114"/>
      <c r="C18" s="114"/>
      <c r="D18" s="114"/>
      <c r="E18" s="19">
        <f>SUM(E19+E22)</f>
        <v>409750</v>
      </c>
      <c r="G18" s="1"/>
      <c r="H18"/>
      <c r="I18"/>
    </row>
    <row r="19" spans="1:9" ht="19.5" customHeight="1">
      <c r="A19" s="9">
        <v>700</v>
      </c>
      <c r="B19" s="77" t="s">
        <v>24</v>
      </c>
      <c r="C19" s="77"/>
      <c r="D19" s="77"/>
      <c r="E19" s="10">
        <f>SUM(E20)</f>
        <v>362000</v>
      </c>
      <c r="G19" s="1"/>
      <c r="H19"/>
      <c r="I19"/>
    </row>
    <row r="20" spans="1:9" ht="19.5" customHeight="1">
      <c r="A20" s="11"/>
      <c r="B20" s="12">
        <v>70005</v>
      </c>
      <c r="C20" s="82" t="s">
        <v>25</v>
      </c>
      <c r="D20" s="82"/>
      <c r="E20" s="13">
        <f>SUM(E21)</f>
        <v>362000</v>
      </c>
      <c r="G20" s="1"/>
      <c r="H20"/>
      <c r="I20"/>
    </row>
    <row r="21" spans="1:9" ht="50.25" customHeight="1">
      <c r="A21" s="14"/>
      <c r="B21" s="15"/>
      <c r="C21" s="21" t="s">
        <v>26</v>
      </c>
      <c r="D21" s="17" t="s">
        <v>27</v>
      </c>
      <c r="E21" s="18">
        <f>392000-30000</f>
        <v>362000</v>
      </c>
      <c r="G21" s="1"/>
      <c r="H21"/>
      <c r="I21"/>
    </row>
    <row r="22" spans="1:9" ht="21.75" customHeight="1">
      <c r="A22" s="11">
        <v>750</v>
      </c>
      <c r="B22" s="89" t="s">
        <v>8</v>
      </c>
      <c r="C22" s="90"/>
      <c r="D22" s="91"/>
      <c r="E22" s="10">
        <f>SUM(E23)</f>
        <v>47750</v>
      </c>
      <c r="G22" s="1"/>
      <c r="H22"/>
      <c r="I22"/>
    </row>
    <row r="23" spans="1:9" ht="18.75" customHeight="1">
      <c r="A23" s="14"/>
      <c r="B23" s="22">
        <v>75020</v>
      </c>
      <c r="C23" s="115" t="s">
        <v>9</v>
      </c>
      <c r="D23" s="116"/>
      <c r="E23" s="13">
        <f>SUM(E24+E25)</f>
        <v>47750</v>
      </c>
      <c r="G23" s="1"/>
      <c r="H23"/>
      <c r="I23"/>
    </row>
    <row r="24" spans="1:9" ht="24" customHeight="1">
      <c r="A24" s="14"/>
      <c r="B24" s="22"/>
      <c r="C24" s="23" t="s">
        <v>28</v>
      </c>
      <c r="D24" s="24" t="s">
        <v>29</v>
      </c>
      <c r="E24" s="18">
        <f>144600-100000</f>
        <v>44600</v>
      </c>
      <c r="G24" s="1"/>
      <c r="H24"/>
      <c r="I24"/>
    </row>
    <row r="25" spans="1:9" ht="24" customHeight="1">
      <c r="A25" s="14"/>
      <c r="B25" s="22"/>
      <c r="C25" s="23" t="s">
        <v>30</v>
      </c>
      <c r="D25" s="24" t="s">
        <v>31</v>
      </c>
      <c r="E25" s="18">
        <f>2000+1150</f>
        <v>3150</v>
      </c>
      <c r="G25" s="1"/>
      <c r="H25"/>
      <c r="I25"/>
    </row>
    <row r="26" spans="1:9" ht="18" customHeight="1">
      <c r="A26" s="113" t="s">
        <v>32</v>
      </c>
      <c r="B26" s="114"/>
      <c r="C26" s="114"/>
      <c r="D26" s="114"/>
      <c r="E26" s="19">
        <f>SUM(E27+E32)</f>
        <v>2287155</v>
      </c>
      <c r="G26" s="1"/>
      <c r="H26"/>
      <c r="I26"/>
    </row>
    <row r="27" spans="1:9" ht="18.75" customHeight="1">
      <c r="A27" s="9">
        <v>700</v>
      </c>
      <c r="B27" s="77" t="s">
        <v>24</v>
      </c>
      <c r="C27" s="77"/>
      <c r="D27" s="77"/>
      <c r="E27" s="10">
        <f>SUM(E28)</f>
        <v>237155</v>
      </c>
      <c r="G27" s="1"/>
      <c r="H27"/>
      <c r="I27"/>
    </row>
    <row r="28" spans="1:9" ht="18.75" customHeight="1">
      <c r="A28" s="11"/>
      <c r="B28" s="12">
        <v>70005</v>
      </c>
      <c r="C28" s="82" t="s">
        <v>25</v>
      </c>
      <c r="D28" s="82"/>
      <c r="E28" s="13">
        <f>SUM(E29:E31)</f>
        <v>237155</v>
      </c>
      <c r="G28" s="1"/>
      <c r="H28"/>
      <c r="I28"/>
    </row>
    <row r="29" spans="1:9" ht="21.75" customHeight="1">
      <c r="A29" s="11"/>
      <c r="B29" s="12"/>
      <c r="C29" s="21" t="s">
        <v>33</v>
      </c>
      <c r="D29" s="17" t="s">
        <v>34</v>
      </c>
      <c r="E29" s="18">
        <v>2336</v>
      </c>
      <c r="G29" s="1"/>
      <c r="H29"/>
      <c r="I29"/>
    </row>
    <row r="30" spans="1:9" ht="21" customHeight="1">
      <c r="A30" s="11"/>
      <c r="B30" s="12"/>
      <c r="C30" s="21" t="s">
        <v>35</v>
      </c>
      <c r="D30" s="17" t="s">
        <v>36</v>
      </c>
      <c r="E30" s="18">
        <v>72261</v>
      </c>
      <c r="G30" s="1"/>
      <c r="H30"/>
      <c r="I30"/>
    </row>
    <row r="31" spans="1:9" ht="48" customHeight="1">
      <c r="A31" s="11"/>
      <c r="B31" s="25"/>
      <c r="C31" s="21" t="s">
        <v>26</v>
      </c>
      <c r="D31" s="17" t="s">
        <v>27</v>
      </c>
      <c r="E31" s="18">
        <v>162558</v>
      </c>
      <c r="G31" s="1"/>
      <c r="H31"/>
      <c r="I31"/>
    </row>
    <row r="32" spans="1:9" ht="21" customHeight="1">
      <c r="A32" s="11">
        <v>710</v>
      </c>
      <c r="B32" s="92" t="s">
        <v>37</v>
      </c>
      <c r="C32" s="93"/>
      <c r="D32" s="94"/>
      <c r="E32" s="10">
        <f>SUM(E33)</f>
        <v>2050000</v>
      </c>
      <c r="G32" s="1"/>
      <c r="H32"/>
      <c r="I32"/>
    </row>
    <row r="33" spans="1:9" ht="21" customHeight="1">
      <c r="A33" s="11"/>
      <c r="B33" s="12">
        <v>71012</v>
      </c>
      <c r="C33" s="109" t="s">
        <v>38</v>
      </c>
      <c r="D33" s="110"/>
      <c r="E33" s="26">
        <f>SUM(E34:E34)</f>
        <v>2050000</v>
      </c>
      <c r="G33" s="1"/>
      <c r="H33"/>
      <c r="I33"/>
    </row>
    <row r="34" spans="1:9" ht="21" customHeight="1">
      <c r="A34" s="11"/>
      <c r="B34" s="12"/>
      <c r="C34" s="16" t="s">
        <v>10</v>
      </c>
      <c r="D34" s="17" t="s">
        <v>11</v>
      </c>
      <c r="E34" s="18">
        <f>1850000+200000</f>
        <v>2050000</v>
      </c>
      <c r="G34" s="1"/>
      <c r="H34"/>
      <c r="I34"/>
    </row>
    <row r="35" spans="1:9" ht="15.75">
      <c r="A35" s="111" t="s">
        <v>39</v>
      </c>
      <c r="B35" s="112"/>
      <c r="C35" s="112"/>
      <c r="D35" s="112"/>
      <c r="E35" s="19">
        <f>SUM(E36+E39+E46+E57+E60+E66+E71+E82+E106+E110+E124+E132+E146+E158+E177+E181+E188)</f>
        <v>229407344.46000001</v>
      </c>
      <c r="G35" s="27"/>
      <c r="H35"/>
      <c r="I35"/>
    </row>
    <row r="36" spans="1:9" ht="29.25" customHeight="1">
      <c r="A36" s="9">
        <v>750</v>
      </c>
      <c r="B36" s="77" t="s">
        <v>8</v>
      </c>
      <c r="C36" s="77"/>
      <c r="D36" s="77"/>
      <c r="E36" s="10">
        <f>E37</f>
        <v>24063</v>
      </c>
      <c r="F36" s="28"/>
      <c r="G36" s="29"/>
      <c r="H36"/>
      <c r="I36"/>
    </row>
    <row r="37" spans="1:9" ht="21.75" customHeight="1">
      <c r="A37" s="9"/>
      <c r="B37" s="30">
        <v>75020</v>
      </c>
      <c r="C37" s="78" t="s">
        <v>9</v>
      </c>
      <c r="D37" s="79"/>
      <c r="E37" s="13">
        <f>SUM(E38)</f>
        <v>24063</v>
      </c>
      <c r="F37" s="28"/>
      <c r="G37" s="29"/>
      <c r="H37"/>
      <c r="I37"/>
    </row>
    <row r="38" spans="1:9" ht="30.75" customHeight="1">
      <c r="A38" s="9"/>
      <c r="B38" s="31"/>
      <c r="C38" s="21" t="s">
        <v>40</v>
      </c>
      <c r="D38" s="32" t="s">
        <v>41</v>
      </c>
      <c r="E38" s="18">
        <f>39+9424+2704+98+2460+3237+910+4377+814</f>
        <v>24063</v>
      </c>
      <c r="F38" s="33"/>
      <c r="G38" s="29"/>
      <c r="H38"/>
      <c r="I38"/>
    </row>
    <row r="39" spans="1:9" ht="37.5" customHeight="1">
      <c r="A39" s="9">
        <v>756</v>
      </c>
      <c r="B39" s="77" t="s">
        <v>13</v>
      </c>
      <c r="C39" s="77"/>
      <c r="D39" s="77"/>
      <c r="E39" s="10">
        <f>E40+E43</f>
        <v>40839744</v>
      </c>
      <c r="F39" s="28"/>
      <c r="G39" s="29"/>
      <c r="H39"/>
      <c r="I39"/>
    </row>
    <row r="40" spans="1:9" ht="21.75" customHeight="1">
      <c r="A40" s="9"/>
      <c r="B40" s="30">
        <v>75618</v>
      </c>
      <c r="C40" s="78" t="s">
        <v>14</v>
      </c>
      <c r="D40" s="79"/>
      <c r="E40" s="13">
        <f>SUM(E41:E42)</f>
        <v>59455</v>
      </c>
      <c r="F40" s="28"/>
      <c r="G40" s="29"/>
      <c r="H40"/>
      <c r="I40"/>
    </row>
    <row r="41" spans="1:9" ht="27.75" customHeight="1">
      <c r="A41" s="9"/>
      <c r="B41" s="31"/>
      <c r="C41" s="21" t="s">
        <v>42</v>
      </c>
      <c r="D41" s="32" t="s">
        <v>43</v>
      </c>
      <c r="E41" s="18">
        <v>50400</v>
      </c>
      <c r="F41" s="33"/>
      <c r="G41" s="29"/>
      <c r="H41"/>
      <c r="I41"/>
    </row>
    <row r="42" spans="1:9" ht="25.5" customHeight="1">
      <c r="A42" s="9"/>
      <c r="B42" s="31"/>
      <c r="C42" s="21" t="s">
        <v>44</v>
      </c>
      <c r="D42" s="34" t="s">
        <v>45</v>
      </c>
      <c r="E42" s="18">
        <v>9055</v>
      </c>
      <c r="F42" s="33"/>
      <c r="G42" s="29"/>
      <c r="H42"/>
      <c r="I42"/>
    </row>
    <row r="43" spans="1:9" ht="21.75" customHeight="1">
      <c r="A43" s="11"/>
      <c r="B43" s="12">
        <v>75622</v>
      </c>
      <c r="C43" s="82" t="s">
        <v>46</v>
      </c>
      <c r="D43" s="82"/>
      <c r="E43" s="13">
        <f>E44+E45</f>
        <v>40780289</v>
      </c>
      <c r="F43" s="28"/>
      <c r="G43" s="29"/>
      <c r="H43"/>
      <c r="I43"/>
    </row>
    <row r="44" spans="1:9" ht="18.75" customHeight="1">
      <c r="A44" s="14"/>
      <c r="B44" s="15"/>
      <c r="C44" s="16" t="s">
        <v>47</v>
      </c>
      <c r="D44" s="17" t="s">
        <v>48</v>
      </c>
      <c r="E44" s="18">
        <v>40000000</v>
      </c>
      <c r="F44" s="28"/>
      <c r="G44" s="29"/>
      <c r="H44"/>
      <c r="I44"/>
    </row>
    <row r="45" spans="1:9" ht="18" customHeight="1">
      <c r="A45" s="14"/>
      <c r="B45" s="15"/>
      <c r="C45" s="16" t="s">
        <v>49</v>
      </c>
      <c r="D45" s="17" t="s">
        <v>50</v>
      </c>
      <c r="E45" s="18">
        <f>300000+20200+63891+266198+130000</f>
        <v>780289</v>
      </c>
      <c r="F45" s="28"/>
      <c r="G45" s="29"/>
      <c r="H45"/>
      <c r="I45"/>
    </row>
    <row r="46" spans="1:9" ht="15.75">
      <c r="A46" s="9">
        <v>758</v>
      </c>
      <c r="B46" s="77" t="s">
        <v>51</v>
      </c>
      <c r="C46" s="77"/>
      <c r="D46" s="77"/>
      <c r="E46" s="10">
        <f>SUM(E55+E53+E51+E47+E49)</f>
        <v>82891887</v>
      </c>
      <c r="F46" s="28"/>
      <c r="G46" s="29"/>
      <c r="H46"/>
      <c r="I46"/>
    </row>
    <row r="47" spans="1:9" ht="18" customHeight="1">
      <c r="A47" s="11"/>
      <c r="B47" s="12">
        <v>75801</v>
      </c>
      <c r="C47" s="82" t="s">
        <v>52</v>
      </c>
      <c r="D47" s="82"/>
      <c r="E47" s="13">
        <f>SUM(E48)</f>
        <v>30021653</v>
      </c>
      <c r="F47" s="28"/>
      <c r="G47" s="29"/>
      <c r="H47"/>
      <c r="I47"/>
    </row>
    <row r="48" spans="1:9" ht="18.75" customHeight="1">
      <c r="A48" s="14"/>
      <c r="B48" s="15"/>
      <c r="C48" s="16">
        <v>2920</v>
      </c>
      <c r="D48" s="17" t="s">
        <v>53</v>
      </c>
      <c r="E48" s="18">
        <f>28997250+339640+30000+66150+588613</f>
        <v>30021653</v>
      </c>
      <c r="F48" s="28"/>
      <c r="G48" s="29"/>
      <c r="H48"/>
      <c r="I48"/>
    </row>
    <row r="49" spans="1:9" ht="18" customHeight="1">
      <c r="A49" s="11"/>
      <c r="B49" s="12">
        <v>75802</v>
      </c>
      <c r="C49" s="82" t="s">
        <v>54</v>
      </c>
      <c r="D49" s="82"/>
      <c r="E49" s="13">
        <f>SUM(E50)</f>
        <v>6892127</v>
      </c>
      <c r="F49" s="28"/>
      <c r="G49" s="29"/>
      <c r="H49"/>
      <c r="I49"/>
    </row>
    <row r="50" spans="1:9" ht="21.75" customHeight="1">
      <c r="A50" s="14"/>
      <c r="B50" s="15"/>
      <c r="C50" s="16">
        <v>2760</v>
      </c>
      <c r="D50" s="17" t="s">
        <v>55</v>
      </c>
      <c r="E50" s="18">
        <v>6892127</v>
      </c>
      <c r="F50" s="28"/>
      <c r="G50" s="29"/>
      <c r="H50"/>
      <c r="I50"/>
    </row>
    <row r="51" spans="1:9" ht="18" customHeight="1">
      <c r="A51" s="11"/>
      <c r="B51" s="12">
        <v>75803</v>
      </c>
      <c r="C51" s="82" t="s">
        <v>56</v>
      </c>
      <c r="D51" s="82"/>
      <c r="E51" s="13">
        <f>SUM(E52)</f>
        <v>40185249</v>
      </c>
      <c r="F51" s="28"/>
      <c r="G51" s="29"/>
      <c r="H51"/>
      <c r="I51"/>
    </row>
    <row r="52" spans="1:9" ht="21.75" customHeight="1">
      <c r="A52" s="14"/>
      <c r="B52" s="15"/>
      <c r="C52" s="16">
        <v>2920</v>
      </c>
      <c r="D52" s="17" t="s">
        <v>53</v>
      </c>
      <c r="E52" s="18">
        <v>40185249</v>
      </c>
      <c r="F52" s="28"/>
      <c r="G52" s="29"/>
      <c r="H52"/>
      <c r="I52"/>
    </row>
    <row r="53" spans="1:9" ht="18" customHeight="1">
      <c r="A53" s="11"/>
      <c r="B53" s="12">
        <v>75814</v>
      </c>
      <c r="C53" s="82" t="s">
        <v>57</v>
      </c>
      <c r="D53" s="82"/>
      <c r="E53" s="13">
        <f>SUM(E54)</f>
        <v>0</v>
      </c>
      <c r="F53" s="28"/>
      <c r="G53" s="1"/>
      <c r="H53"/>
      <c r="I53"/>
    </row>
    <row r="54" spans="1:9" ht="17.25" customHeight="1">
      <c r="A54" s="14"/>
      <c r="B54" s="15"/>
      <c r="C54" s="16" t="s">
        <v>58</v>
      </c>
      <c r="D54" s="17" t="s">
        <v>59</v>
      </c>
      <c r="E54" s="35">
        <f>100000-100000</f>
        <v>0</v>
      </c>
      <c r="F54" s="28"/>
      <c r="G54" s="1"/>
      <c r="H54"/>
      <c r="I54"/>
    </row>
    <row r="55" spans="1:9" ht="18" customHeight="1">
      <c r="A55" s="11"/>
      <c r="B55" s="12">
        <v>75832</v>
      </c>
      <c r="C55" s="82" t="s">
        <v>60</v>
      </c>
      <c r="D55" s="82"/>
      <c r="E55" s="13">
        <f>SUM(E56)</f>
        <v>5792858</v>
      </c>
      <c r="F55" s="28"/>
      <c r="G55" s="1"/>
      <c r="H55"/>
      <c r="I55"/>
    </row>
    <row r="56" spans="1:9" ht="20.25" customHeight="1">
      <c r="A56" s="14"/>
      <c r="B56" s="15"/>
      <c r="C56" s="16">
        <v>2920</v>
      </c>
      <c r="D56" s="17" t="s">
        <v>53</v>
      </c>
      <c r="E56" s="18">
        <f>5793401-543</f>
        <v>5792858</v>
      </c>
      <c r="F56" s="28"/>
      <c r="G56" s="1"/>
      <c r="H56"/>
      <c r="I56"/>
    </row>
    <row r="57" spans="1:9" ht="17.25" customHeight="1">
      <c r="A57" s="9">
        <v>851</v>
      </c>
      <c r="B57" s="77" t="s">
        <v>61</v>
      </c>
      <c r="C57" s="77"/>
      <c r="D57" s="77"/>
      <c r="E57" s="10">
        <f>SUM(E58)</f>
        <v>5578784</v>
      </c>
      <c r="F57" s="28"/>
      <c r="G57" s="1"/>
      <c r="H57"/>
      <c r="I57"/>
    </row>
    <row r="58" spans="1:9" ht="31.5" customHeight="1">
      <c r="A58" s="11"/>
      <c r="B58" s="12">
        <v>85156</v>
      </c>
      <c r="C58" s="82" t="s">
        <v>62</v>
      </c>
      <c r="D58" s="82"/>
      <c r="E58" s="13">
        <f>SUM(E59)</f>
        <v>5578784</v>
      </c>
      <c r="F58" s="28"/>
      <c r="G58" s="1"/>
      <c r="H58"/>
      <c r="I58"/>
    </row>
    <row r="59" spans="1:9" ht="40.5" customHeight="1">
      <c r="A59" s="14"/>
      <c r="B59" s="15"/>
      <c r="C59" s="15">
        <v>2110</v>
      </c>
      <c r="D59" s="17" t="s">
        <v>63</v>
      </c>
      <c r="E59" s="18">
        <f>5172385+406399</f>
        <v>5578784</v>
      </c>
      <c r="F59" s="28"/>
      <c r="G59" s="1"/>
      <c r="H59"/>
      <c r="I59"/>
    </row>
    <row r="60" spans="1:9" ht="21" customHeight="1">
      <c r="A60" s="9">
        <v>852</v>
      </c>
      <c r="B60" s="77" t="s">
        <v>64</v>
      </c>
      <c r="C60" s="77"/>
      <c r="D60" s="77"/>
      <c r="E60" s="10">
        <f>SUM(E61+E63)</f>
        <v>8441333</v>
      </c>
      <c r="F60" s="28"/>
      <c r="G60" s="1"/>
      <c r="H60"/>
      <c r="I60"/>
    </row>
    <row r="61" spans="1:9" ht="20.25" customHeight="1">
      <c r="A61" s="11"/>
      <c r="B61" s="12">
        <v>85202</v>
      </c>
      <c r="C61" s="82" t="s">
        <v>65</v>
      </c>
      <c r="D61" s="82"/>
      <c r="E61" s="13">
        <f>SUM(E62)</f>
        <v>8223275</v>
      </c>
      <c r="F61" s="28"/>
      <c r="G61" s="1"/>
      <c r="H61"/>
      <c r="I61"/>
    </row>
    <row r="62" spans="1:9" ht="26.25" customHeight="1">
      <c r="A62" s="14"/>
      <c r="B62" s="15"/>
      <c r="C62" s="15">
        <v>2130</v>
      </c>
      <c r="D62" s="17" t="s">
        <v>66</v>
      </c>
      <c r="E62" s="18">
        <f>7391761+335275+132978+363261</f>
        <v>8223275</v>
      </c>
      <c r="F62" s="28"/>
      <c r="G62" s="1"/>
      <c r="H62"/>
      <c r="I62"/>
    </row>
    <row r="63" spans="1:9" ht="20.25" customHeight="1">
      <c r="A63" s="11"/>
      <c r="B63" s="12">
        <v>85295</v>
      </c>
      <c r="C63" s="82" t="s">
        <v>67</v>
      </c>
      <c r="D63" s="82"/>
      <c r="E63" s="13">
        <f>SUM(E65+E64)</f>
        <v>218058</v>
      </c>
      <c r="F63" s="28"/>
      <c r="G63" s="1"/>
      <c r="H63"/>
      <c r="I63"/>
    </row>
    <row r="64" spans="1:9" ht="43.5" customHeight="1">
      <c r="A64" s="14"/>
      <c r="B64" s="15"/>
      <c r="C64" s="15">
        <v>2180</v>
      </c>
      <c r="D64" s="36" t="s">
        <v>68</v>
      </c>
      <c r="E64" s="18">
        <v>218058</v>
      </c>
      <c r="F64" s="28"/>
      <c r="G64" s="1"/>
      <c r="H64"/>
      <c r="I64"/>
    </row>
    <row r="65" spans="1:9" ht="43.5" customHeight="1">
      <c r="A65" s="14"/>
      <c r="B65" s="15"/>
      <c r="C65" s="15">
        <v>2700</v>
      </c>
      <c r="D65" s="36" t="s">
        <v>69</v>
      </c>
      <c r="E65" s="18">
        <f>218058-218058</f>
        <v>0</v>
      </c>
      <c r="F65" s="28"/>
      <c r="G65" s="1"/>
      <c r="H65"/>
      <c r="I65"/>
    </row>
    <row r="66" spans="1:9" ht="22.5" customHeight="1">
      <c r="A66" s="9">
        <v>855</v>
      </c>
      <c r="B66" s="77" t="s">
        <v>70</v>
      </c>
      <c r="C66" s="77"/>
      <c r="D66" s="77"/>
      <c r="E66" s="10">
        <f>SUM(E67,E69)</f>
        <v>83604</v>
      </c>
      <c r="F66" s="28"/>
      <c r="G66" s="1"/>
      <c r="H66"/>
      <c r="I66"/>
    </row>
    <row r="67" spans="1:9" ht="20.25" customHeight="1">
      <c r="A67" s="11"/>
      <c r="B67" s="12">
        <v>85504</v>
      </c>
      <c r="C67" s="82" t="s">
        <v>71</v>
      </c>
      <c r="D67" s="82"/>
      <c r="E67" s="13">
        <f>SUM(E68)</f>
        <v>310</v>
      </c>
      <c r="F67" s="28"/>
      <c r="G67" s="1"/>
      <c r="H67"/>
      <c r="I67"/>
    </row>
    <row r="68" spans="1:9" ht="30" customHeight="1">
      <c r="A68" s="14"/>
      <c r="B68" s="15"/>
      <c r="C68" s="15">
        <v>2110</v>
      </c>
      <c r="D68" s="17" t="s">
        <v>63</v>
      </c>
      <c r="E68" s="18">
        <f>45778-45468</f>
        <v>310</v>
      </c>
      <c r="F68" s="28"/>
      <c r="G68" s="1"/>
      <c r="H68"/>
      <c r="I68"/>
    </row>
    <row r="69" spans="1:9" ht="20.25" customHeight="1">
      <c r="A69" s="14"/>
      <c r="B69" s="22">
        <v>85510</v>
      </c>
      <c r="C69" s="78" t="s">
        <v>72</v>
      </c>
      <c r="D69" s="79"/>
      <c r="E69" s="13">
        <f>E70</f>
        <v>83294</v>
      </c>
      <c r="F69" s="28"/>
      <c r="G69" s="1"/>
      <c r="H69"/>
      <c r="I69"/>
    </row>
    <row r="70" spans="1:9" ht="46.5" customHeight="1">
      <c r="A70" s="14"/>
      <c r="B70" s="15"/>
      <c r="C70" s="15">
        <v>2160</v>
      </c>
      <c r="D70" s="37" t="s">
        <v>73</v>
      </c>
      <c r="E70" s="18">
        <f>100919-11312-6313</f>
        <v>83294</v>
      </c>
      <c r="F70" s="28"/>
      <c r="G70" s="1"/>
      <c r="H70"/>
      <c r="I70"/>
    </row>
    <row r="71" spans="1:9" ht="15.75">
      <c r="A71" s="38"/>
      <c r="B71" s="83" t="s">
        <v>74</v>
      </c>
      <c r="C71" s="108"/>
      <c r="D71" s="108"/>
      <c r="E71" s="39">
        <f>SUM(E72+E75+E79)</f>
        <v>2278998.5</v>
      </c>
      <c r="F71" s="28"/>
      <c r="G71" s="1"/>
      <c r="H71"/>
      <c r="I71"/>
    </row>
    <row r="72" spans="1:9" ht="15.75">
      <c r="A72" s="9" t="s">
        <v>75</v>
      </c>
      <c r="B72" s="77" t="s">
        <v>76</v>
      </c>
      <c r="C72" s="77"/>
      <c r="D72" s="77"/>
      <c r="E72" s="35">
        <f>SUM(E73)</f>
        <v>21398.5</v>
      </c>
      <c r="F72" s="28"/>
      <c r="G72" s="1"/>
      <c r="H72"/>
      <c r="I72"/>
    </row>
    <row r="73" spans="1:9" ht="15.75">
      <c r="A73" s="11"/>
      <c r="B73" s="12" t="s">
        <v>77</v>
      </c>
      <c r="C73" s="82" t="s">
        <v>78</v>
      </c>
      <c r="D73" s="82"/>
      <c r="E73" s="40">
        <f>SUM(E74:E74)</f>
        <v>21398.5</v>
      </c>
      <c r="F73" s="28"/>
      <c r="G73" s="1"/>
      <c r="H73"/>
      <c r="I73"/>
    </row>
    <row r="74" spans="1:9" ht="41.25" customHeight="1">
      <c r="A74" s="14"/>
      <c r="B74" s="15"/>
      <c r="C74" s="15">
        <v>2110</v>
      </c>
      <c r="D74" s="17" t="s">
        <v>79</v>
      </c>
      <c r="E74" s="35">
        <f>80000-40000-18601.5</f>
        <v>21398.5</v>
      </c>
      <c r="F74" s="28"/>
      <c r="G74" s="1"/>
      <c r="H74"/>
      <c r="I74"/>
    </row>
    <row r="75" spans="1:9" ht="15.75">
      <c r="A75" s="9">
        <v>700</v>
      </c>
      <c r="B75" s="77" t="s">
        <v>24</v>
      </c>
      <c r="C75" s="77"/>
      <c r="D75" s="77"/>
      <c r="E75" s="18">
        <f>SUM(E76)</f>
        <v>1757600</v>
      </c>
      <c r="F75" s="28"/>
      <c r="G75" s="1"/>
      <c r="H75"/>
      <c r="I75"/>
    </row>
    <row r="76" spans="1:9" ht="15.75">
      <c r="A76" s="11"/>
      <c r="B76" s="12">
        <v>70005</v>
      </c>
      <c r="C76" s="82" t="s">
        <v>25</v>
      </c>
      <c r="D76" s="82"/>
      <c r="E76" s="13">
        <f>SUM(E77:E78)</f>
        <v>1757600</v>
      </c>
      <c r="F76" s="28"/>
      <c r="G76" s="1"/>
      <c r="H76"/>
      <c r="I76"/>
    </row>
    <row r="77" spans="1:9" ht="39" customHeight="1">
      <c r="A77" s="14"/>
      <c r="B77" s="15"/>
      <c r="C77" s="16" t="s">
        <v>80</v>
      </c>
      <c r="D77" s="17" t="s">
        <v>79</v>
      </c>
      <c r="E77" s="18">
        <f>411000+80000</f>
        <v>491000</v>
      </c>
      <c r="F77" s="28"/>
      <c r="G77" s="1"/>
      <c r="H77"/>
      <c r="I77"/>
    </row>
    <row r="78" spans="1:9" ht="35.25" customHeight="1">
      <c r="A78" s="14"/>
      <c r="B78" s="15"/>
      <c r="C78" s="16" t="s">
        <v>81</v>
      </c>
      <c r="D78" s="17" t="s">
        <v>82</v>
      </c>
      <c r="E78" s="18">
        <v>1266600</v>
      </c>
      <c r="F78" s="28"/>
      <c r="G78" s="1"/>
      <c r="H78"/>
      <c r="I78"/>
    </row>
    <row r="79" spans="1:9" ht="17.25" customHeight="1">
      <c r="A79" s="9">
        <v>710</v>
      </c>
      <c r="B79" s="77" t="s">
        <v>37</v>
      </c>
      <c r="C79" s="77"/>
      <c r="D79" s="77"/>
      <c r="E79" s="18">
        <f>SUM(E80)</f>
        <v>500000</v>
      </c>
      <c r="F79" s="28"/>
      <c r="G79" s="1"/>
      <c r="H79"/>
      <c r="I79"/>
    </row>
    <row r="80" spans="1:9" ht="18" customHeight="1">
      <c r="A80" s="11"/>
      <c r="B80" s="12">
        <v>71012</v>
      </c>
      <c r="C80" s="82" t="s">
        <v>38</v>
      </c>
      <c r="D80" s="82"/>
      <c r="E80" s="13">
        <f>SUM(E81:E81)</f>
        <v>500000</v>
      </c>
      <c r="F80" s="28"/>
      <c r="G80" s="1"/>
      <c r="H80"/>
      <c r="I80"/>
    </row>
    <row r="81" spans="1:9" ht="34.5" customHeight="1">
      <c r="A81" s="14"/>
      <c r="B81" s="15"/>
      <c r="C81" s="16" t="s">
        <v>80</v>
      </c>
      <c r="D81" s="17" t="s">
        <v>79</v>
      </c>
      <c r="E81" s="18">
        <f>380000+120000</f>
        <v>500000</v>
      </c>
      <c r="F81" s="28"/>
      <c r="G81" s="1"/>
      <c r="H81"/>
      <c r="I81"/>
    </row>
    <row r="82" spans="1:9" ht="20.25" customHeight="1">
      <c r="A82" s="14"/>
      <c r="B82" s="83" t="s">
        <v>83</v>
      </c>
      <c r="C82" s="108"/>
      <c r="D82" s="108"/>
      <c r="E82" s="41">
        <f>SUM(E83+E87+E94+E102+E98)</f>
        <v>10648886.389999999</v>
      </c>
      <c r="F82" s="28"/>
      <c r="G82" s="1"/>
      <c r="H82"/>
      <c r="I82"/>
    </row>
    <row r="83" spans="1:9" ht="22.5" customHeight="1">
      <c r="A83" s="9">
        <v>710</v>
      </c>
      <c r="B83" s="77" t="s">
        <v>84</v>
      </c>
      <c r="C83" s="77"/>
      <c r="D83" s="77"/>
      <c r="E83" s="18">
        <f>SUM(E84)</f>
        <v>7656543.1199999992</v>
      </c>
      <c r="F83" s="28"/>
      <c r="G83" s="1"/>
      <c r="H83"/>
      <c r="I83"/>
    </row>
    <row r="84" spans="1:9" ht="21" customHeight="1">
      <c r="A84" s="14"/>
      <c r="B84" s="22">
        <v>71012</v>
      </c>
      <c r="C84" s="82" t="s">
        <v>38</v>
      </c>
      <c r="D84" s="82"/>
      <c r="E84" s="13">
        <f>SUM(E85:E86)</f>
        <v>7656543.1199999992</v>
      </c>
      <c r="F84" s="28"/>
      <c r="G84" s="1"/>
      <c r="H84"/>
      <c r="I84"/>
    </row>
    <row r="85" spans="1:9" ht="50.25" customHeight="1">
      <c r="A85" s="14"/>
      <c r="B85" s="22"/>
      <c r="C85" s="15">
        <v>2057</v>
      </c>
      <c r="D85" s="32" t="s">
        <v>85</v>
      </c>
      <c r="E85" s="18">
        <f>44977+49225.94-13600.01</f>
        <v>80602.930000000008</v>
      </c>
      <c r="F85" s="33"/>
      <c r="G85" s="1"/>
      <c r="H85"/>
      <c r="I85"/>
    </row>
    <row r="86" spans="1:9" ht="50.25" customHeight="1">
      <c r="A86" s="14"/>
      <c r="B86" s="15"/>
      <c r="C86" s="15">
        <v>6257</v>
      </c>
      <c r="D86" s="32" t="s">
        <v>85</v>
      </c>
      <c r="E86" s="18">
        <f>10356921+85000.41-2042127.24-823853.98</f>
        <v>7575940.1899999995</v>
      </c>
      <c r="F86" s="33"/>
      <c r="G86" s="1"/>
      <c r="H86"/>
      <c r="I86"/>
    </row>
    <row r="87" spans="1:9" ht="24" customHeight="1">
      <c r="A87" s="9">
        <v>801</v>
      </c>
      <c r="B87" s="77" t="s">
        <v>86</v>
      </c>
      <c r="C87" s="77"/>
      <c r="D87" s="77"/>
      <c r="E87" s="18">
        <f>E88</f>
        <v>1496383.1400000001</v>
      </c>
      <c r="F87" s="28"/>
      <c r="G87" s="1"/>
      <c r="H87"/>
      <c r="I87"/>
    </row>
    <row r="88" spans="1:9" ht="21.75" customHeight="1">
      <c r="A88" s="14"/>
      <c r="B88" s="22">
        <v>80195</v>
      </c>
      <c r="C88" s="82" t="s">
        <v>67</v>
      </c>
      <c r="D88" s="82"/>
      <c r="E88" s="13">
        <f>SUM(E89:E93)</f>
        <v>1496383.1400000001</v>
      </c>
      <c r="F88" s="28"/>
      <c r="G88" s="1"/>
      <c r="H88"/>
      <c r="I88"/>
    </row>
    <row r="89" spans="1:9" ht="50.25" customHeight="1">
      <c r="A89" s="14"/>
      <c r="B89" s="22"/>
      <c r="C89" s="42">
        <v>2007</v>
      </c>
      <c r="D89" s="43" t="s">
        <v>87</v>
      </c>
      <c r="E89" s="18">
        <f>115430+10699.37-17647.49</f>
        <v>108481.87999999999</v>
      </c>
      <c r="F89" s="33"/>
      <c r="G89" s="1"/>
      <c r="H89"/>
      <c r="I89"/>
    </row>
    <row r="90" spans="1:9" ht="50.25" customHeight="1">
      <c r="A90" s="14"/>
      <c r="B90" s="22"/>
      <c r="C90" s="42">
        <v>2009</v>
      </c>
      <c r="D90" s="43" t="s">
        <v>87</v>
      </c>
      <c r="E90" s="18">
        <f>9087-0.09</f>
        <v>9086.91</v>
      </c>
      <c r="F90" s="33"/>
      <c r="G90" s="1"/>
      <c r="H90"/>
      <c r="I90"/>
    </row>
    <row r="91" spans="1:9" ht="50.25" customHeight="1">
      <c r="A91" s="14"/>
      <c r="B91" s="22"/>
      <c r="C91" s="42">
        <v>2057</v>
      </c>
      <c r="D91" s="44" t="s">
        <v>88</v>
      </c>
      <c r="E91" s="18">
        <f>853704+205105.86+0.34-0.38-117542.06</f>
        <v>941267.76</v>
      </c>
      <c r="F91" s="33"/>
      <c r="G91" s="1"/>
      <c r="H91"/>
      <c r="I91"/>
    </row>
    <row r="92" spans="1:9" ht="50.25" customHeight="1">
      <c r="A92" s="14"/>
      <c r="B92" s="15"/>
      <c r="C92" s="15">
        <v>2059</v>
      </c>
      <c r="D92" s="44" t="s">
        <v>88</v>
      </c>
      <c r="E92" s="18">
        <f>65350+18766.99-0.34+0.38-6468.44</f>
        <v>77648.590000000011</v>
      </c>
      <c r="F92" s="33"/>
      <c r="G92" s="1"/>
      <c r="H92"/>
      <c r="I92"/>
    </row>
    <row r="93" spans="1:9" ht="50.25" customHeight="1">
      <c r="A93" s="14"/>
      <c r="B93" s="15"/>
      <c r="C93" s="15">
        <v>2701</v>
      </c>
      <c r="D93" s="45" t="s">
        <v>89</v>
      </c>
      <c r="E93" s="18">
        <v>359898</v>
      </c>
      <c r="F93" s="33"/>
      <c r="G93" s="1"/>
      <c r="H93"/>
      <c r="I93"/>
    </row>
    <row r="94" spans="1:9" ht="24" customHeight="1">
      <c r="A94" s="9">
        <v>851</v>
      </c>
      <c r="B94" s="77" t="s">
        <v>61</v>
      </c>
      <c r="C94" s="77"/>
      <c r="D94" s="77"/>
      <c r="E94" s="18">
        <f>E95</f>
        <v>939318.09</v>
      </c>
      <c r="F94" s="28"/>
      <c r="G94" s="1"/>
      <c r="H94"/>
      <c r="I94"/>
    </row>
    <row r="95" spans="1:9" ht="21.75" customHeight="1">
      <c r="A95" s="14"/>
      <c r="B95" s="22">
        <v>85195</v>
      </c>
      <c r="C95" s="82" t="s">
        <v>67</v>
      </c>
      <c r="D95" s="82"/>
      <c r="E95" s="13">
        <f>SUM(E96+E97)</f>
        <v>939318.09</v>
      </c>
      <c r="F95" s="28"/>
      <c r="G95" s="1"/>
      <c r="H95"/>
      <c r="I95"/>
    </row>
    <row r="96" spans="1:9" ht="50.25" customHeight="1">
      <c r="A96" s="14"/>
      <c r="B96" s="22"/>
      <c r="C96" s="42">
        <v>2057</v>
      </c>
      <c r="D96" s="44" t="s">
        <v>88</v>
      </c>
      <c r="E96" s="18">
        <f>2330271+0.32-1398422.05-139520.84</f>
        <v>792328.42999999982</v>
      </c>
      <c r="F96" s="33"/>
      <c r="G96" s="1"/>
      <c r="H96"/>
      <c r="I96"/>
    </row>
    <row r="97" spans="1:9" ht="50.25" customHeight="1">
      <c r="A97" s="14"/>
      <c r="B97" s="22"/>
      <c r="C97" s="42">
        <v>6257</v>
      </c>
      <c r="D97" s="32" t="s">
        <v>85</v>
      </c>
      <c r="E97" s="18">
        <f>143776+1398422.05-1395208.39</f>
        <v>146989.66000000015</v>
      </c>
      <c r="F97" s="33"/>
      <c r="G97" s="1"/>
      <c r="H97"/>
      <c r="I97"/>
    </row>
    <row r="98" spans="1:9" ht="24" customHeight="1">
      <c r="A98" s="9">
        <v>852</v>
      </c>
      <c r="B98" s="77" t="s">
        <v>64</v>
      </c>
      <c r="C98" s="77"/>
      <c r="D98" s="77"/>
      <c r="E98" s="18">
        <f>E99</f>
        <v>167830</v>
      </c>
      <c r="F98" s="28"/>
      <c r="G98" s="1"/>
      <c r="H98"/>
      <c r="I98"/>
    </row>
    <row r="99" spans="1:9" ht="20.25" customHeight="1">
      <c r="A99" s="11"/>
      <c r="B99" s="12">
        <v>85295</v>
      </c>
      <c r="C99" s="82" t="s">
        <v>67</v>
      </c>
      <c r="D99" s="82"/>
      <c r="E99" s="13">
        <f>SUM(E100+E101)</f>
        <v>167830</v>
      </c>
      <c r="F99" s="28"/>
      <c r="G99" s="1"/>
      <c r="H99"/>
      <c r="I99"/>
    </row>
    <row r="100" spans="1:9" ht="35.25" customHeight="1">
      <c r="A100" s="11"/>
      <c r="B100" s="12"/>
      <c r="C100" s="46">
        <v>2467</v>
      </c>
      <c r="D100" s="47" t="s">
        <v>90</v>
      </c>
      <c r="E100" s="18">
        <v>141262.51</v>
      </c>
      <c r="F100" s="28"/>
      <c r="G100" s="1"/>
      <c r="H100"/>
      <c r="I100"/>
    </row>
    <row r="101" spans="1:9" ht="50.25" customHeight="1">
      <c r="A101" s="11"/>
      <c r="B101" s="12"/>
      <c r="C101" s="46">
        <v>2469</v>
      </c>
      <c r="D101" s="48" t="s">
        <v>91</v>
      </c>
      <c r="E101" s="18">
        <v>26567.49</v>
      </c>
      <c r="F101" s="28"/>
      <c r="G101" s="1"/>
      <c r="H101"/>
      <c r="I101"/>
    </row>
    <row r="102" spans="1:9" ht="24" customHeight="1">
      <c r="A102" s="9">
        <v>853</v>
      </c>
      <c r="B102" s="77" t="s">
        <v>92</v>
      </c>
      <c r="C102" s="77"/>
      <c r="D102" s="77"/>
      <c r="E102" s="18">
        <f>E103</f>
        <v>388812.04</v>
      </c>
      <c r="F102" s="28"/>
      <c r="G102" s="1"/>
      <c r="H102"/>
      <c r="I102"/>
    </row>
    <row r="103" spans="1:9" ht="21.75" customHeight="1">
      <c r="A103" s="14"/>
      <c r="B103" s="22">
        <v>85395</v>
      </c>
      <c r="C103" s="82" t="s">
        <v>67</v>
      </c>
      <c r="D103" s="82"/>
      <c r="E103" s="13">
        <f>SUM(E104+E105)</f>
        <v>388812.04</v>
      </c>
      <c r="F103" s="28"/>
      <c r="G103" s="1"/>
      <c r="H103"/>
      <c r="I103"/>
    </row>
    <row r="104" spans="1:9" ht="40.5" customHeight="1">
      <c r="A104" s="14"/>
      <c r="B104" s="22"/>
      <c r="C104" s="42">
        <v>2337</v>
      </c>
      <c r="D104" s="49" t="s">
        <v>93</v>
      </c>
      <c r="E104" s="18">
        <v>327690.78999999998</v>
      </c>
      <c r="F104" s="33"/>
      <c r="G104" s="1"/>
      <c r="H104"/>
      <c r="I104"/>
    </row>
    <row r="105" spans="1:9" ht="37.5" customHeight="1">
      <c r="A105" s="14"/>
      <c r="B105" s="22"/>
      <c r="C105" s="42">
        <v>2339</v>
      </c>
      <c r="D105" s="49" t="s">
        <v>93</v>
      </c>
      <c r="E105" s="18">
        <v>61121.25</v>
      </c>
      <c r="F105" s="33"/>
      <c r="G105" s="1"/>
      <c r="H105"/>
      <c r="I105"/>
    </row>
    <row r="106" spans="1:9" ht="21" customHeight="1">
      <c r="A106" s="14"/>
      <c r="B106" s="83" t="s">
        <v>94</v>
      </c>
      <c r="C106" s="108"/>
      <c r="D106" s="108"/>
      <c r="E106" s="41">
        <f>SUM(E107)</f>
        <v>605</v>
      </c>
      <c r="F106" s="28"/>
      <c r="G106" s="1"/>
      <c r="H106"/>
      <c r="I106"/>
    </row>
    <row r="107" spans="1:9" ht="21" customHeight="1">
      <c r="A107" s="9">
        <v>600</v>
      </c>
      <c r="B107" s="77" t="s">
        <v>95</v>
      </c>
      <c r="C107" s="77"/>
      <c r="D107" s="77"/>
      <c r="E107" s="18">
        <f>SUM(E108)</f>
        <v>605</v>
      </c>
      <c r="F107" s="28"/>
      <c r="G107" s="1"/>
      <c r="H107"/>
      <c r="I107"/>
    </row>
    <row r="108" spans="1:9" ht="21" customHeight="1">
      <c r="A108" s="14"/>
      <c r="B108" s="22">
        <v>60095</v>
      </c>
      <c r="C108" s="87" t="s">
        <v>67</v>
      </c>
      <c r="D108" s="88"/>
      <c r="E108" s="13">
        <f>SUM(E109)</f>
        <v>605</v>
      </c>
      <c r="F108" s="28"/>
      <c r="G108" s="1"/>
      <c r="H108"/>
      <c r="I108"/>
    </row>
    <row r="109" spans="1:9" ht="36" customHeight="1">
      <c r="A109" s="14"/>
      <c r="B109" s="15"/>
      <c r="C109" s="15">
        <v>2110</v>
      </c>
      <c r="D109" s="17" t="s">
        <v>63</v>
      </c>
      <c r="E109" s="18">
        <v>605</v>
      </c>
      <c r="F109" s="28"/>
      <c r="G109" s="1"/>
      <c r="H109"/>
      <c r="I109"/>
    </row>
    <row r="110" spans="1:9" ht="15.75">
      <c r="A110" s="9"/>
      <c r="B110" s="83" t="s">
        <v>96</v>
      </c>
      <c r="C110" s="83"/>
      <c r="D110" s="83"/>
      <c r="E110" s="41">
        <f>SUM(E111+E121+E117)</f>
        <v>852600</v>
      </c>
      <c r="F110" s="28"/>
      <c r="G110" s="1"/>
      <c r="H110"/>
      <c r="I110"/>
    </row>
    <row r="111" spans="1:9" ht="15.75" customHeight="1">
      <c r="A111" s="9">
        <v>750</v>
      </c>
      <c r="B111" s="97" t="s">
        <v>8</v>
      </c>
      <c r="C111" s="98"/>
      <c r="D111" s="99"/>
      <c r="E111" s="18">
        <f>SUM(E112+E115)</f>
        <v>154600</v>
      </c>
      <c r="F111" s="28"/>
      <c r="G111" s="1"/>
      <c r="H111"/>
      <c r="I111"/>
    </row>
    <row r="112" spans="1:9" ht="15.75">
      <c r="A112" s="50"/>
      <c r="B112" s="12">
        <v>75045</v>
      </c>
      <c r="C112" s="82" t="s">
        <v>97</v>
      </c>
      <c r="D112" s="82"/>
      <c r="E112" s="13">
        <f>SUM(E113:E114)</f>
        <v>124000</v>
      </c>
      <c r="F112" s="28"/>
      <c r="G112" s="1"/>
      <c r="H112"/>
      <c r="I112"/>
    </row>
    <row r="113" spans="1:9" ht="38.25" customHeight="1">
      <c r="A113" s="50"/>
      <c r="B113" s="12"/>
      <c r="C113" s="15">
        <v>2110</v>
      </c>
      <c r="D113" s="17" t="s">
        <v>79</v>
      </c>
      <c r="E113" s="18">
        <v>66000</v>
      </c>
      <c r="F113" s="33"/>
      <c r="G113" s="1"/>
      <c r="H113"/>
      <c r="I113"/>
    </row>
    <row r="114" spans="1:9" ht="40.5" customHeight="1">
      <c r="A114" s="50"/>
      <c r="B114" s="12"/>
      <c r="C114" s="16">
        <v>2120</v>
      </c>
      <c r="D114" s="17" t="s">
        <v>98</v>
      </c>
      <c r="E114" s="18">
        <v>58000</v>
      </c>
      <c r="F114" s="33"/>
      <c r="G114" s="1"/>
      <c r="H114"/>
      <c r="I114"/>
    </row>
    <row r="115" spans="1:9" ht="15.75">
      <c r="A115" s="50"/>
      <c r="B115" s="12">
        <v>75095</v>
      </c>
      <c r="C115" s="82" t="s">
        <v>67</v>
      </c>
      <c r="D115" s="82"/>
      <c r="E115" s="13">
        <f>SUM(E116)</f>
        <v>30600</v>
      </c>
      <c r="F115" s="28"/>
      <c r="G115" s="1"/>
      <c r="H115"/>
      <c r="I115"/>
    </row>
    <row r="116" spans="1:9" ht="38.25" customHeight="1">
      <c r="A116" s="50"/>
      <c r="B116" s="12"/>
      <c r="C116" s="15">
        <v>2710</v>
      </c>
      <c r="D116" s="32" t="s">
        <v>99</v>
      </c>
      <c r="E116" s="18">
        <f>30000+600</f>
        <v>30600</v>
      </c>
      <c r="F116" s="33"/>
      <c r="G116" s="1"/>
      <c r="H116"/>
      <c r="I116"/>
    </row>
    <row r="117" spans="1:9" ht="18" customHeight="1">
      <c r="A117" s="51">
        <v>754</v>
      </c>
      <c r="B117" s="100" t="s">
        <v>100</v>
      </c>
      <c r="C117" s="101"/>
      <c r="D117" s="102"/>
      <c r="E117" s="18">
        <f>SUM(E118)</f>
        <v>170000</v>
      </c>
      <c r="F117" s="28"/>
      <c r="G117" s="1"/>
      <c r="H117"/>
      <c r="I117"/>
    </row>
    <row r="118" spans="1:9" ht="18.75" customHeight="1">
      <c r="A118" s="52"/>
      <c r="B118" s="53">
        <v>75421</v>
      </c>
      <c r="C118" s="103" t="s">
        <v>101</v>
      </c>
      <c r="D118" s="104"/>
      <c r="E118" s="13">
        <f>SUM(E119+E120)</f>
        <v>170000</v>
      </c>
      <c r="F118" s="28"/>
      <c r="G118" s="1"/>
      <c r="H118"/>
      <c r="I118"/>
    </row>
    <row r="119" spans="1:9" ht="30.75" customHeight="1">
      <c r="A119" s="50"/>
      <c r="B119" s="12"/>
      <c r="C119" s="21" t="s">
        <v>102</v>
      </c>
      <c r="D119" s="36" t="s">
        <v>103</v>
      </c>
      <c r="E119" s="18">
        <f>85000-85000</f>
        <v>0</v>
      </c>
      <c r="F119" s="28"/>
      <c r="G119" s="1"/>
      <c r="H119"/>
      <c r="I119"/>
    </row>
    <row r="120" spans="1:9" ht="30.75" customHeight="1">
      <c r="A120" s="50"/>
      <c r="B120" s="12"/>
      <c r="C120" s="21" t="s">
        <v>104</v>
      </c>
      <c r="D120" s="36" t="s">
        <v>68</v>
      </c>
      <c r="E120" s="18">
        <v>170000</v>
      </c>
      <c r="F120" s="28"/>
      <c r="G120" s="1"/>
      <c r="H120"/>
      <c r="I120"/>
    </row>
    <row r="121" spans="1:9" ht="18" customHeight="1">
      <c r="A121" s="51">
        <v>755</v>
      </c>
      <c r="B121" s="100" t="s">
        <v>105</v>
      </c>
      <c r="C121" s="101"/>
      <c r="D121" s="102"/>
      <c r="E121" s="18">
        <f>SUM(E122)</f>
        <v>528000</v>
      </c>
      <c r="F121" s="28"/>
      <c r="G121" s="1"/>
      <c r="H121"/>
      <c r="I121"/>
    </row>
    <row r="122" spans="1:9" ht="18.75" customHeight="1">
      <c r="A122" s="52"/>
      <c r="B122" s="53">
        <v>75515</v>
      </c>
      <c r="C122" s="103" t="s">
        <v>106</v>
      </c>
      <c r="D122" s="104"/>
      <c r="E122" s="13">
        <f>SUM(E123)</f>
        <v>528000</v>
      </c>
      <c r="F122" s="28"/>
      <c r="G122" s="1"/>
      <c r="H122"/>
      <c r="I122"/>
    </row>
    <row r="123" spans="1:9" ht="38.25" customHeight="1">
      <c r="A123" s="50"/>
      <c r="B123" s="12"/>
      <c r="C123" s="15">
        <v>2110</v>
      </c>
      <c r="D123" s="17" t="s">
        <v>107</v>
      </c>
      <c r="E123" s="18">
        <v>528000</v>
      </c>
      <c r="F123" s="28"/>
      <c r="G123" s="1"/>
      <c r="H123"/>
      <c r="I123"/>
    </row>
    <row r="124" spans="1:9" ht="15.75">
      <c r="A124" s="38"/>
      <c r="B124" s="105" t="s">
        <v>108</v>
      </c>
      <c r="C124" s="106"/>
      <c r="D124" s="107"/>
      <c r="E124" s="39">
        <f>SUM(E125+E128)</f>
        <v>1118047</v>
      </c>
      <c r="F124" s="28"/>
      <c r="G124" s="1"/>
      <c r="H124"/>
      <c r="I124"/>
    </row>
    <row r="125" spans="1:9" ht="21" customHeight="1">
      <c r="A125" s="9" t="s">
        <v>109</v>
      </c>
      <c r="B125" s="97" t="s">
        <v>110</v>
      </c>
      <c r="C125" s="98"/>
      <c r="D125" s="99"/>
      <c r="E125" s="18">
        <f>SUM(E126)</f>
        <v>295732</v>
      </c>
      <c r="F125" s="28"/>
      <c r="G125" s="1"/>
      <c r="H125"/>
      <c r="I125"/>
    </row>
    <row r="126" spans="1:9" ht="19.5" customHeight="1">
      <c r="A126" s="11"/>
      <c r="B126" s="12" t="s">
        <v>111</v>
      </c>
      <c r="C126" s="78" t="s">
        <v>112</v>
      </c>
      <c r="D126" s="79"/>
      <c r="E126" s="13">
        <f>SUM(E127:E127)</f>
        <v>295732</v>
      </c>
      <c r="F126" s="28"/>
      <c r="G126" s="1"/>
      <c r="H126"/>
      <c r="I126"/>
    </row>
    <row r="127" spans="1:9" ht="36.75" customHeight="1">
      <c r="A127" s="14"/>
      <c r="B127" s="15"/>
      <c r="C127" s="15">
        <v>2460</v>
      </c>
      <c r="D127" s="17" t="s">
        <v>113</v>
      </c>
      <c r="E127" s="18">
        <f>286856+8876</f>
        <v>295732</v>
      </c>
      <c r="F127" s="54"/>
      <c r="G127" s="1"/>
      <c r="H127"/>
      <c r="I127"/>
    </row>
    <row r="128" spans="1:9" ht="21" customHeight="1">
      <c r="A128" s="9">
        <v>900</v>
      </c>
      <c r="B128" s="77" t="s">
        <v>114</v>
      </c>
      <c r="C128" s="77"/>
      <c r="D128" s="77"/>
      <c r="E128" s="18">
        <f>SUM(E129)</f>
        <v>822315</v>
      </c>
      <c r="F128" s="28"/>
      <c r="G128" s="1"/>
      <c r="H128"/>
      <c r="I128"/>
    </row>
    <row r="129" spans="1:9" ht="19.5" customHeight="1">
      <c r="A129" s="11"/>
      <c r="B129" s="12">
        <v>90019</v>
      </c>
      <c r="C129" s="82" t="s">
        <v>115</v>
      </c>
      <c r="D129" s="82"/>
      <c r="E129" s="13">
        <f>SUM(E130:E131)</f>
        <v>822315</v>
      </c>
      <c r="F129" s="28"/>
      <c r="G129" s="1"/>
      <c r="H129"/>
      <c r="I129"/>
    </row>
    <row r="130" spans="1:9" ht="28.5" customHeight="1">
      <c r="A130" s="14"/>
      <c r="B130" s="15"/>
      <c r="C130" s="21" t="s">
        <v>10</v>
      </c>
      <c r="D130" s="17" t="s">
        <v>116</v>
      </c>
      <c r="E130" s="18">
        <f>700000+112000</f>
        <v>812000</v>
      </c>
      <c r="F130" s="28"/>
      <c r="G130" s="1"/>
      <c r="H130"/>
      <c r="I130"/>
    </row>
    <row r="131" spans="1:9" ht="36.75" customHeight="1">
      <c r="A131" s="14"/>
      <c r="B131" s="15"/>
      <c r="C131" s="15">
        <v>2460</v>
      </c>
      <c r="D131" s="17" t="s">
        <v>113</v>
      </c>
      <c r="E131" s="18">
        <f>8000+2315</f>
        <v>10315</v>
      </c>
      <c r="F131" s="28"/>
      <c r="G131" s="1"/>
      <c r="H131"/>
      <c r="I131"/>
    </row>
    <row r="132" spans="1:9" ht="15.75">
      <c r="A132" s="38"/>
      <c r="B132" s="83" t="s">
        <v>117</v>
      </c>
      <c r="C132" s="83"/>
      <c r="D132" s="83"/>
      <c r="E132" s="39">
        <f>SUM(E133)</f>
        <v>500515.58999999997</v>
      </c>
      <c r="F132" s="28"/>
      <c r="G132" s="1"/>
      <c r="H132"/>
      <c r="I132"/>
    </row>
    <row r="133" spans="1:9" ht="15.75">
      <c r="A133" s="55">
        <v>801</v>
      </c>
      <c r="B133" s="84" t="s">
        <v>86</v>
      </c>
      <c r="C133" s="85"/>
      <c r="D133" s="86"/>
      <c r="E133" s="56">
        <f>E140+E138+E134+E136</f>
        <v>500515.58999999997</v>
      </c>
      <c r="F133" s="28"/>
      <c r="G133" s="1"/>
      <c r="H133"/>
      <c r="I133"/>
    </row>
    <row r="134" spans="1:9" ht="29.25" customHeight="1">
      <c r="A134" s="38"/>
      <c r="B134" s="57">
        <v>80115</v>
      </c>
      <c r="C134" s="95" t="s">
        <v>118</v>
      </c>
      <c r="D134" s="96"/>
      <c r="E134" s="58">
        <f>SUM(E135)</f>
        <v>2500</v>
      </c>
      <c r="F134" s="28"/>
      <c r="G134" s="1"/>
      <c r="H134"/>
      <c r="I134"/>
    </row>
    <row r="135" spans="1:9" ht="26.25" customHeight="1">
      <c r="A135" s="38"/>
      <c r="B135" s="59"/>
      <c r="C135" s="42">
        <v>2130</v>
      </c>
      <c r="D135" s="17" t="s">
        <v>66</v>
      </c>
      <c r="E135" s="60">
        <v>2500</v>
      </c>
      <c r="F135" s="28"/>
      <c r="G135" s="1"/>
      <c r="H135"/>
      <c r="I135"/>
    </row>
    <row r="136" spans="1:9" ht="29.25" customHeight="1">
      <c r="A136" s="38"/>
      <c r="B136" s="57">
        <v>80120</v>
      </c>
      <c r="C136" s="95" t="s">
        <v>119</v>
      </c>
      <c r="D136" s="96"/>
      <c r="E136" s="58">
        <f>SUM(E137)</f>
        <v>3000</v>
      </c>
      <c r="F136" s="28"/>
      <c r="G136" s="1"/>
      <c r="H136"/>
      <c r="I136"/>
    </row>
    <row r="137" spans="1:9" ht="26.25" customHeight="1">
      <c r="A137" s="38"/>
      <c r="B137" s="59"/>
      <c r="C137" s="42">
        <v>2130</v>
      </c>
      <c r="D137" s="17" t="s">
        <v>66</v>
      </c>
      <c r="E137" s="60">
        <v>3000</v>
      </c>
      <c r="F137" s="28"/>
      <c r="G137" s="1"/>
      <c r="H137"/>
      <c r="I137"/>
    </row>
    <row r="138" spans="1:9" ht="29.25" customHeight="1">
      <c r="A138" s="38"/>
      <c r="B138" s="57">
        <v>80153</v>
      </c>
      <c r="C138" s="95" t="s">
        <v>120</v>
      </c>
      <c r="D138" s="96"/>
      <c r="E138" s="58">
        <f>SUM(E139)</f>
        <v>4300</v>
      </c>
      <c r="F138" s="28"/>
      <c r="G138" s="1"/>
      <c r="H138"/>
      <c r="I138"/>
    </row>
    <row r="139" spans="1:9" ht="31.5">
      <c r="A139" s="38"/>
      <c r="B139" s="59"/>
      <c r="C139" s="42">
        <v>2110</v>
      </c>
      <c r="D139" s="17" t="s">
        <v>107</v>
      </c>
      <c r="E139" s="60">
        <f>1200+3100</f>
        <v>4300</v>
      </c>
      <c r="F139" s="28"/>
      <c r="G139" s="1"/>
      <c r="H139"/>
      <c r="I139"/>
    </row>
    <row r="140" spans="1:9" ht="15.75">
      <c r="A140" s="38"/>
      <c r="B140" s="59">
        <v>80195</v>
      </c>
      <c r="C140" s="75" t="s">
        <v>67</v>
      </c>
      <c r="D140" s="76"/>
      <c r="E140" s="61">
        <f>SUM(E141:E145)</f>
        <v>490715.58999999997</v>
      </c>
      <c r="F140" s="28"/>
      <c r="G140" s="1"/>
      <c r="H140"/>
      <c r="I140"/>
    </row>
    <row r="141" spans="1:9" ht="47.25">
      <c r="A141" s="38"/>
      <c r="B141" s="59"/>
      <c r="C141" s="42">
        <v>2057</v>
      </c>
      <c r="D141" s="44" t="s">
        <v>88</v>
      </c>
      <c r="E141" s="56">
        <f>222719-0.29+16783.2-222718.71</f>
        <v>16783.200000000012</v>
      </c>
      <c r="F141" s="28"/>
      <c r="G141" s="1"/>
      <c r="H141"/>
      <c r="I141"/>
    </row>
    <row r="142" spans="1:9" ht="47.25">
      <c r="A142" s="38"/>
      <c r="B142" s="59"/>
      <c r="C142" s="15">
        <v>2059</v>
      </c>
      <c r="D142" s="44" t="s">
        <v>88</v>
      </c>
      <c r="E142" s="56">
        <f>13737-0.03+1016-13736.97</f>
        <v>1016</v>
      </c>
      <c r="F142" s="28"/>
      <c r="G142" s="1"/>
      <c r="H142"/>
      <c r="I142"/>
    </row>
    <row r="143" spans="1:9" ht="46.5" customHeight="1">
      <c r="A143" s="38"/>
      <c r="B143" s="59"/>
      <c r="C143" s="62">
        <v>2701</v>
      </c>
      <c r="D143" s="49" t="s">
        <v>121</v>
      </c>
      <c r="E143" s="60">
        <f>239935-94859.7-0.59</f>
        <v>145074.71</v>
      </c>
      <c r="F143" s="33"/>
      <c r="G143" s="1"/>
      <c r="H143"/>
      <c r="I143"/>
    </row>
    <row r="144" spans="1:9" ht="46.5" customHeight="1">
      <c r="A144" s="38"/>
      <c r="B144" s="59"/>
      <c r="C144" s="62">
        <v>2707</v>
      </c>
      <c r="D144" s="49" t="s">
        <v>121</v>
      </c>
      <c r="E144" s="60">
        <f>222718.71+86167.86</f>
        <v>308886.57</v>
      </c>
      <c r="F144" s="33"/>
      <c r="G144" s="1"/>
      <c r="H144"/>
      <c r="I144"/>
    </row>
    <row r="145" spans="1:9" ht="46.5" customHeight="1">
      <c r="A145" s="38"/>
      <c r="B145" s="59"/>
      <c r="C145" s="62">
        <v>2709</v>
      </c>
      <c r="D145" s="49" t="s">
        <v>121</v>
      </c>
      <c r="E145" s="60">
        <f>13736.97+5218.14</f>
        <v>18955.11</v>
      </c>
      <c r="F145" s="33"/>
      <c r="G145" s="1"/>
      <c r="H145"/>
      <c r="I145"/>
    </row>
    <row r="146" spans="1:9" ht="15.75">
      <c r="A146" s="38"/>
      <c r="B146" s="83" t="s">
        <v>122</v>
      </c>
      <c r="C146" s="83"/>
      <c r="D146" s="83"/>
      <c r="E146" s="39">
        <f>SUM(E152+E147)</f>
        <v>1225822</v>
      </c>
      <c r="F146" s="28"/>
      <c r="G146" s="1"/>
      <c r="H146"/>
      <c r="I146"/>
    </row>
    <row r="147" spans="1:9" ht="15.75">
      <c r="A147" s="9">
        <v>851</v>
      </c>
      <c r="B147" s="77" t="s">
        <v>61</v>
      </c>
      <c r="C147" s="77"/>
      <c r="D147" s="77"/>
      <c r="E147" s="18">
        <f>SUM(E148+E150)</f>
        <v>125000</v>
      </c>
      <c r="F147" s="28"/>
      <c r="G147" s="1"/>
      <c r="H147"/>
      <c r="I147"/>
    </row>
    <row r="148" spans="1:9" ht="15.75">
      <c r="A148" s="11"/>
      <c r="B148" s="12">
        <v>85111</v>
      </c>
      <c r="C148" s="82" t="s">
        <v>123</v>
      </c>
      <c r="D148" s="82"/>
      <c r="E148" s="13">
        <f>SUM(E149)</f>
        <v>75000</v>
      </c>
      <c r="F148" s="28"/>
      <c r="G148" s="1"/>
      <c r="H148"/>
      <c r="I148"/>
    </row>
    <row r="149" spans="1:9" ht="36" customHeight="1">
      <c r="A149" s="14"/>
      <c r="B149" s="15"/>
      <c r="C149" s="16">
        <v>6690</v>
      </c>
      <c r="D149" s="17" t="s">
        <v>124</v>
      </c>
      <c r="E149" s="18">
        <v>75000</v>
      </c>
      <c r="F149" s="28"/>
      <c r="G149" s="1"/>
      <c r="H149"/>
      <c r="I149"/>
    </row>
    <row r="150" spans="1:9" ht="15.75">
      <c r="A150" s="11"/>
      <c r="B150" s="12">
        <v>85195</v>
      </c>
      <c r="C150" s="82" t="s">
        <v>67</v>
      </c>
      <c r="D150" s="82"/>
      <c r="E150" s="13">
        <f>SUM(E151)</f>
        <v>50000</v>
      </c>
      <c r="F150" s="28"/>
      <c r="G150" s="1"/>
      <c r="H150"/>
      <c r="I150"/>
    </row>
    <row r="151" spans="1:9" ht="36" customHeight="1">
      <c r="A151" s="14"/>
      <c r="B151" s="15"/>
      <c r="C151" s="16">
        <v>2710</v>
      </c>
      <c r="D151" s="32" t="s">
        <v>99</v>
      </c>
      <c r="E151" s="18">
        <v>50000</v>
      </c>
      <c r="F151" s="28"/>
      <c r="G151" s="1"/>
      <c r="H151"/>
      <c r="I151"/>
    </row>
    <row r="152" spans="1:9" ht="15.75">
      <c r="A152" s="9">
        <v>853</v>
      </c>
      <c r="B152" s="77" t="s">
        <v>92</v>
      </c>
      <c r="C152" s="77"/>
      <c r="D152" s="77"/>
      <c r="E152" s="18">
        <f>SUM(E153+E156)</f>
        <v>1100822</v>
      </c>
      <c r="F152" s="28"/>
      <c r="G152" s="1"/>
      <c r="H152"/>
      <c r="I152"/>
    </row>
    <row r="153" spans="1:9" ht="15.75">
      <c r="A153" s="11"/>
      <c r="B153" s="12">
        <v>85321</v>
      </c>
      <c r="C153" s="82" t="s">
        <v>125</v>
      </c>
      <c r="D153" s="82"/>
      <c r="E153" s="13">
        <f>SUM(E154:E155)</f>
        <v>1083662</v>
      </c>
      <c r="F153" s="28"/>
      <c r="G153" s="1"/>
      <c r="H153"/>
      <c r="I153"/>
    </row>
    <row r="154" spans="1:9" ht="30.75" customHeight="1">
      <c r="A154" s="14"/>
      <c r="B154" s="15"/>
      <c r="C154" s="16">
        <v>2110</v>
      </c>
      <c r="D154" s="17" t="s">
        <v>107</v>
      </c>
      <c r="E154" s="18">
        <f>860000+18075+204687</f>
        <v>1082762</v>
      </c>
      <c r="F154" s="28"/>
      <c r="G154" s="1"/>
      <c r="H154"/>
      <c r="I154"/>
    </row>
    <row r="155" spans="1:9" ht="39.75" customHeight="1">
      <c r="A155" s="14"/>
      <c r="B155" s="15"/>
      <c r="C155" s="16">
        <v>2360</v>
      </c>
      <c r="D155" s="17" t="s">
        <v>82</v>
      </c>
      <c r="E155" s="18">
        <v>900</v>
      </c>
      <c r="F155" s="28"/>
      <c r="H155"/>
      <c r="I155"/>
    </row>
    <row r="156" spans="1:9" ht="15.75">
      <c r="A156" s="11"/>
      <c r="B156" s="12">
        <v>85395</v>
      </c>
      <c r="C156" s="82" t="s">
        <v>67</v>
      </c>
      <c r="D156" s="82"/>
      <c r="E156" s="13">
        <f>SUM(E157)</f>
        <v>17160</v>
      </c>
      <c r="F156" s="28"/>
      <c r="G156" s="1"/>
      <c r="H156"/>
      <c r="I156"/>
    </row>
    <row r="157" spans="1:9" ht="30.75" customHeight="1">
      <c r="A157" s="14"/>
      <c r="B157" s="15"/>
      <c r="C157" s="16">
        <v>2110</v>
      </c>
      <c r="D157" s="17" t="s">
        <v>107</v>
      </c>
      <c r="E157" s="18">
        <v>17160</v>
      </c>
      <c r="F157" s="28"/>
      <c r="G157" s="1"/>
      <c r="H157"/>
      <c r="I157"/>
    </row>
    <row r="158" spans="1:9" ht="15.75">
      <c r="A158" s="38"/>
      <c r="B158" s="83" t="s">
        <v>126</v>
      </c>
      <c r="C158" s="83"/>
      <c r="D158" s="83"/>
      <c r="E158" s="39">
        <f>SUM(E159+E167+E170)</f>
        <v>2936400.08</v>
      </c>
      <c r="F158" s="28"/>
      <c r="G158" s="1"/>
      <c r="H158"/>
      <c r="I158"/>
    </row>
    <row r="159" spans="1:9" ht="15.75">
      <c r="A159" s="9">
        <v>852</v>
      </c>
      <c r="B159" s="77" t="s">
        <v>64</v>
      </c>
      <c r="C159" s="77"/>
      <c r="D159" s="77"/>
      <c r="E159" s="18">
        <f>SUM(E162+E160)</f>
        <v>805251.08</v>
      </c>
      <c r="F159" s="28"/>
      <c r="G159" s="1"/>
      <c r="H159"/>
      <c r="I159"/>
    </row>
    <row r="160" spans="1:9" ht="20.25" customHeight="1">
      <c r="A160" s="9"/>
      <c r="B160" s="22">
        <v>85205</v>
      </c>
      <c r="C160" s="87" t="s">
        <v>127</v>
      </c>
      <c r="D160" s="88"/>
      <c r="E160" s="63">
        <f>SUM(E161)</f>
        <v>20304</v>
      </c>
      <c r="F160" s="28"/>
      <c r="H160"/>
      <c r="I160"/>
    </row>
    <row r="161" spans="1:9" ht="39.75" customHeight="1">
      <c r="A161" s="9"/>
      <c r="B161" s="22"/>
      <c r="C161" s="21" t="s">
        <v>80</v>
      </c>
      <c r="D161" s="17" t="s">
        <v>107</v>
      </c>
      <c r="E161" s="64">
        <f>16074+4230</f>
        <v>20304</v>
      </c>
      <c r="F161" s="54"/>
      <c r="H161"/>
      <c r="I161"/>
    </row>
    <row r="162" spans="1:9" ht="20.25" customHeight="1">
      <c r="A162" s="9"/>
      <c r="B162" s="22">
        <v>85295</v>
      </c>
      <c r="C162" s="87" t="s">
        <v>67</v>
      </c>
      <c r="D162" s="88"/>
      <c r="E162" s="63">
        <f>SUM(E163:E166)</f>
        <v>784947.08</v>
      </c>
      <c r="F162" s="28"/>
      <c r="H162"/>
      <c r="I162"/>
    </row>
    <row r="163" spans="1:9" ht="50.25" customHeight="1">
      <c r="A163" s="9"/>
      <c r="B163" s="22"/>
      <c r="C163" s="21" t="s">
        <v>128</v>
      </c>
      <c r="D163" s="43" t="s">
        <v>87</v>
      </c>
      <c r="E163" s="64">
        <f>319202+58387.59-64662.84</f>
        <v>312926.75</v>
      </c>
      <c r="F163" s="54"/>
      <c r="H163"/>
      <c r="I163"/>
    </row>
    <row r="164" spans="1:9" ht="50.25" customHeight="1">
      <c r="A164" s="9"/>
      <c r="B164" s="22"/>
      <c r="C164" s="21" t="s">
        <v>129</v>
      </c>
      <c r="D164" s="43" t="s">
        <v>87</v>
      </c>
      <c r="E164" s="64">
        <f>28165+5153.49-5707.15</f>
        <v>27611.339999999997</v>
      </c>
      <c r="F164" s="54"/>
      <c r="H164"/>
      <c r="I164"/>
    </row>
    <row r="165" spans="1:9" ht="50.25" customHeight="1">
      <c r="A165" s="9"/>
      <c r="B165" s="22"/>
      <c r="C165" s="21" t="s">
        <v>130</v>
      </c>
      <c r="D165" s="44" t="s">
        <v>88</v>
      </c>
      <c r="E165" s="64">
        <f>343713+64662.83</f>
        <v>408375.83</v>
      </c>
      <c r="F165" s="33"/>
      <c r="H165"/>
      <c r="I165"/>
    </row>
    <row r="166" spans="1:9" ht="50.25" customHeight="1">
      <c r="A166" s="9"/>
      <c r="B166" s="22"/>
      <c r="C166" s="21" t="s">
        <v>131</v>
      </c>
      <c r="D166" s="44" t="s">
        <v>88</v>
      </c>
      <c r="E166" s="64">
        <f>30326+5707.16</f>
        <v>36033.160000000003</v>
      </c>
      <c r="F166" s="33"/>
      <c r="H166"/>
      <c r="I166"/>
    </row>
    <row r="167" spans="1:9" ht="22.5" customHeight="1">
      <c r="A167" s="9">
        <v>853</v>
      </c>
      <c r="B167" s="89" t="s">
        <v>92</v>
      </c>
      <c r="C167" s="90"/>
      <c r="D167" s="91"/>
      <c r="E167" s="64">
        <f>SUM(E168)</f>
        <v>33750</v>
      </c>
      <c r="F167" s="28"/>
      <c r="G167" s="1"/>
      <c r="H167"/>
      <c r="I167"/>
    </row>
    <row r="168" spans="1:9" ht="21" customHeight="1">
      <c r="A168" s="9"/>
      <c r="B168" s="12">
        <v>85311</v>
      </c>
      <c r="C168" s="82" t="s">
        <v>132</v>
      </c>
      <c r="D168" s="82"/>
      <c r="E168" s="13">
        <f>SUM(E169:E169)</f>
        <v>33750</v>
      </c>
      <c r="F168" s="28"/>
      <c r="G168" s="1"/>
      <c r="H168"/>
      <c r="I168"/>
    </row>
    <row r="169" spans="1:9" ht="41.25" customHeight="1">
      <c r="A169" s="9"/>
      <c r="B169" s="12"/>
      <c r="C169" s="21" t="s">
        <v>133</v>
      </c>
      <c r="D169" s="17" t="s">
        <v>134</v>
      </c>
      <c r="E169" s="18">
        <v>33750</v>
      </c>
      <c r="F169" s="28"/>
      <c r="G169" s="1"/>
      <c r="H169"/>
      <c r="I169"/>
    </row>
    <row r="170" spans="1:9" ht="19.5" customHeight="1">
      <c r="A170" s="9">
        <v>855</v>
      </c>
      <c r="B170" s="92" t="s">
        <v>70</v>
      </c>
      <c r="C170" s="93"/>
      <c r="D170" s="94"/>
      <c r="E170" s="18">
        <f>SUM(E171+E175)</f>
        <v>2097399</v>
      </c>
      <c r="F170" s="28"/>
      <c r="G170" s="1"/>
      <c r="H170"/>
      <c r="I170"/>
    </row>
    <row r="171" spans="1:9" ht="18.75" customHeight="1">
      <c r="A171" s="9"/>
      <c r="B171" s="22">
        <v>85508</v>
      </c>
      <c r="C171" s="82" t="s">
        <v>135</v>
      </c>
      <c r="D171" s="82"/>
      <c r="E171" s="13">
        <f>SUM(E172:E174)</f>
        <v>1531919</v>
      </c>
      <c r="F171" s="28"/>
      <c r="G171" s="1"/>
      <c r="H171"/>
      <c r="I171"/>
    </row>
    <row r="172" spans="1:9" ht="52.35" customHeight="1">
      <c r="A172" s="9"/>
      <c r="B172" s="22"/>
      <c r="C172" s="42">
        <v>2160</v>
      </c>
      <c r="D172" s="37" t="s">
        <v>73</v>
      </c>
      <c r="E172" s="18">
        <v>710912</v>
      </c>
      <c r="F172" s="54"/>
      <c r="G172" s="1"/>
      <c r="H172"/>
      <c r="I172"/>
    </row>
    <row r="173" spans="1:9" ht="39" customHeight="1">
      <c r="A173" s="9"/>
      <c r="B173" s="22"/>
      <c r="C173" s="21" t="s">
        <v>133</v>
      </c>
      <c r="D173" s="17" t="s">
        <v>134</v>
      </c>
      <c r="E173" s="18">
        <v>380000</v>
      </c>
      <c r="F173" s="28"/>
      <c r="G173" s="1"/>
      <c r="H173"/>
      <c r="I173"/>
    </row>
    <row r="174" spans="1:9" ht="47.25">
      <c r="A174" s="38"/>
      <c r="B174" s="22"/>
      <c r="C174" s="21" t="s">
        <v>136</v>
      </c>
      <c r="D174" s="17" t="s">
        <v>137</v>
      </c>
      <c r="E174" s="60">
        <v>441007</v>
      </c>
      <c r="F174" s="28"/>
      <c r="G174" s="1"/>
      <c r="H174"/>
      <c r="I174"/>
    </row>
    <row r="175" spans="1:9" ht="19.5" customHeight="1">
      <c r="A175" s="9"/>
      <c r="B175" s="30">
        <v>85510</v>
      </c>
      <c r="C175" s="78" t="s">
        <v>72</v>
      </c>
      <c r="D175" s="79"/>
      <c r="E175" s="13">
        <f>SUM(E176:E176)</f>
        <v>565480</v>
      </c>
      <c r="F175" s="28"/>
      <c r="G175" s="1"/>
      <c r="H175"/>
      <c r="I175"/>
    </row>
    <row r="176" spans="1:9" ht="48.75" customHeight="1">
      <c r="A176" s="14"/>
      <c r="B176" s="15"/>
      <c r="C176" s="21" t="s">
        <v>136</v>
      </c>
      <c r="D176" s="17" t="s">
        <v>137</v>
      </c>
      <c r="E176" s="18">
        <v>565480</v>
      </c>
      <c r="F176" s="33"/>
      <c r="G176" s="1"/>
      <c r="H176"/>
      <c r="I176"/>
    </row>
    <row r="177" spans="1:9" ht="15.75">
      <c r="A177" s="38"/>
      <c r="B177" s="83" t="s">
        <v>138</v>
      </c>
      <c r="C177" s="83"/>
      <c r="D177" s="83"/>
      <c r="E177" s="39">
        <f>SUM(E178)</f>
        <v>912200</v>
      </c>
      <c r="F177" s="28"/>
      <c r="G177" s="1"/>
      <c r="H177"/>
      <c r="I177"/>
    </row>
    <row r="178" spans="1:9" ht="15.75">
      <c r="A178" s="9">
        <v>710</v>
      </c>
      <c r="B178" s="77" t="s">
        <v>37</v>
      </c>
      <c r="C178" s="77"/>
      <c r="D178" s="77"/>
      <c r="E178" s="18">
        <f>SUM(E179)</f>
        <v>912200</v>
      </c>
      <c r="F178" s="28"/>
      <c r="G178" s="1"/>
      <c r="H178"/>
      <c r="I178"/>
    </row>
    <row r="179" spans="1:9" ht="15.75">
      <c r="A179" s="50"/>
      <c r="B179" s="12">
        <v>71015</v>
      </c>
      <c r="C179" s="82" t="s">
        <v>139</v>
      </c>
      <c r="D179" s="82"/>
      <c r="E179" s="13">
        <f>SUM(E180:E180)</f>
        <v>912200</v>
      </c>
      <c r="F179" s="28"/>
      <c r="G179" s="1"/>
      <c r="H179"/>
      <c r="I179"/>
    </row>
    <row r="180" spans="1:9" ht="42.75" customHeight="1">
      <c r="A180" s="50"/>
      <c r="B180" s="12"/>
      <c r="C180" s="16" t="s">
        <v>80</v>
      </c>
      <c r="D180" s="17" t="s">
        <v>79</v>
      </c>
      <c r="E180" s="18">
        <f>854000+12000+36200+10000</f>
        <v>912200</v>
      </c>
      <c r="F180" s="54"/>
      <c r="G180" s="1"/>
      <c r="H180"/>
      <c r="I180"/>
    </row>
    <row r="181" spans="1:9" ht="15.75">
      <c r="A181" s="38"/>
      <c r="B181" s="83" t="s">
        <v>140</v>
      </c>
      <c r="C181" s="83"/>
      <c r="D181" s="83"/>
      <c r="E181" s="39">
        <f>SUM(E182)</f>
        <v>67066013</v>
      </c>
      <c r="F181" s="28"/>
      <c r="G181" s="65"/>
      <c r="H181"/>
      <c r="I181"/>
    </row>
    <row r="182" spans="1:9" ht="15.75">
      <c r="A182" s="9">
        <v>600</v>
      </c>
      <c r="B182" s="77" t="s">
        <v>95</v>
      </c>
      <c r="C182" s="77"/>
      <c r="D182" s="77"/>
      <c r="E182" s="18">
        <f>SUM(E183)</f>
        <v>67066013</v>
      </c>
      <c r="F182" s="28"/>
      <c r="G182" s="65"/>
      <c r="H182"/>
      <c r="I182"/>
    </row>
    <row r="183" spans="1:9" ht="15.75">
      <c r="A183" s="11"/>
      <c r="B183" s="12">
        <v>60014</v>
      </c>
      <c r="C183" s="82" t="s">
        <v>141</v>
      </c>
      <c r="D183" s="82"/>
      <c r="E183" s="13">
        <f>SUM(E184:E187)</f>
        <v>67066013</v>
      </c>
      <c r="F183" s="28"/>
      <c r="G183" s="1"/>
      <c r="H183"/>
      <c r="I183"/>
    </row>
    <row r="184" spans="1:9" ht="31.5">
      <c r="A184" s="11"/>
      <c r="B184" s="12"/>
      <c r="C184" s="42">
        <v>2170</v>
      </c>
      <c r="D184" s="32" t="s">
        <v>142</v>
      </c>
      <c r="E184" s="18">
        <f>407500+664200-177350</f>
        <v>894350</v>
      </c>
      <c r="F184" s="33"/>
      <c r="G184" s="1"/>
      <c r="H184"/>
      <c r="I184"/>
    </row>
    <row r="185" spans="1:9" ht="31.5">
      <c r="A185" s="11"/>
      <c r="B185" s="12"/>
      <c r="C185" s="42">
        <v>2710</v>
      </c>
      <c r="D185" s="32" t="s">
        <v>99</v>
      </c>
      <c r="E185" s="66">
        <f>203750+876647+45000+16250+67287+50000-30000</f>
        <v>1228934</v>
      </c>
      <c r="F185" s="33"/>
      <c r="G185" s="1"/>
      <c r="H185"/>
      <c r="I185"/>
    </row>
    <row r="186" spans="1:9" ht="31.5">
      <c r="A186" s="11"/>
      <c r="B186" s="12"/>
      <c r="C186" s="15">
        <v>6300</v>
      </c>
      <c r="D186" s="17" t="s">
        <v>143</v>
      </c>
      <c r="E186" s="66">
        <f>14072134+676000+1050411+76000+1583680+70000-782492-199899</f>
        <v>16545834</v>
      </c>
      <c r="F186" s="33"/>
      <c r="G186" s="1"/>
      <c r="H186"/>
      <c r="I186"/>
    </row>
    <row r="187" spans="1:9" ht="37.5" customHeight="1">
      <c r="A187" s="11"/>
      <c r="B187" s="12"/>
      <c r="C187" s="15">
        <v>6350</v>
      </c>
      <c r="D187" s="17" t="s">
        <v>144</v>
      </c>
      <c r="E187" s="18">
        <f>29088908+775624-3289059+7867316+6610662+137900+7240000-34456</f>
        <v>48396895</v>
      </c>
      <c r="F187" s="33"/>
      <c r="G187" s="1"/>
      <c r="H187"/>
      <c r="I187"/>
    </row>
    <row r="188" spans="1:9" ht="15.75">
      <c r="A188" s="38"/>
      <c r="B188" s="83" t="s">
        <v>145</v>
      </c>
      <c r="C188" s="83"/>
      <c r="D188" s="83"/>
      <c r="E188" s="67">
        <f>SUM(E189+E195+E200)</f>
        <v>4007841.8999999994</v>
      </c>
      <c r="F188" s="28"/>
      <c r="G188" s="1"/>
      <c r="H188"/>
      <c r="I188"/>
    </row>
    <row r="189" spans="1:9" ht="15.75">
      <c r="A189" s="9">
        <v>801</v>
      </c>
      <c r="B189" s="77" t="s">
        <v>86</v>
      </c>
      <c r="C189" s="77"/>
      <c r="D189" s="77"/>
      <c r="E189" s="18">
        <f>E190</f>
        <v>325678.67</v>
      </c>
      <c r="F189" s="28"/>
      <c r="G189" s="1"/>
      <c r="H189"/>
      <c r="I189"/>
    </row>
    <row r="190" spans="1:9" ht="15.75">
      <c r="A190" s="14"/>
      <c r="B190" s="22">
        <v>80195</v>
      </c>
      <c r="C190" s="82" t="s">
        <v>67</v>
      </c>
      <c r="D190" s="82"/>
      <c r="E190" s="13">
        <f>SUM(E191:E194)</f>
        <v>325678.67</v>
      </c>
      <c r="F190" s="28"/>
      <c r="G190" s="1"/>
      <c r="H190"/>
      <c r="I190"/>
    </row>
    <row r="191" spans="1:9" ht="47.25">
      <c r="A191" s="14"/>
      <c r="B191" s="22"/>
      <c r="C191" s="42">
        <v>2007</v>
      </c>
      <c r="D191" s="43" t="s">
        <v>87</v>
      </c>
      <c r="E191" s="18">
        <f>98841+0.56+1875.03+3764.7</f>
        <v>104481.29</v>
      </c>
      <c r="F191" s="28"/>
      <c r="G191" s="1"/>
      <c r="H191"/>
      <c r="I191"/>
    </row>
    <row r="192" spans="1:9" ht="47.25">
      <c r="A192" s="14"/>
      <c r="B192" s="22"/>
      <c r="C192" s="42">
        <v>2009</v>
      </c>
      <c r="D192" s="43" t="s">
        <v>87</v>
      </c>
      <c r="E192" s="18">
        <f>5771-0.06+109.47+219.8</f>
        <v>6100.21</v>
      </c>
      <c r="F192" s="28"/>
      <c r="G192" s="1"/>
      <c r="H192"/>
      <c r="I192"/>
    </row>
    <row r="193" spans="1:9" ht="47.25">
      <c r="A193" s="14"/>
      <c r="B193" s="22"/>
      <c r="C193" s="42">
        <v>2057</v>
      </c>
      <c r="D193" s="44" t="s">
        <v>88</v>
      </c>
      <c r="E193" s="18">
        <f>241764-0.26-1875.03-32892.66-3764.7</f>
        <v>203231.34999999998</v>
      </c>
      <c r="F193" s="28"/>
      <c r="G193" s="1"/>
      <c r="H193"/>
      <c r="I193"/>
    </row>
    <row r="194" spans="1:9" ht="47.25">
      <c r="A194" s="14"/>
      <c r="B194" s="15"/>
      <c r="C194" s="15">
        <v>2059</v>
      </c>
      <c r="D194" s="44" t="s">
        <v>88</v>
      </c>
      <c r="E194" s="18">
        <f>14116-0.44-109.47-1920.47-219.8</f>
        <v>11865.820000000002</v>
      </c>
      <c r="F194" s="28"/>
      <c r="G194" s="1"/>
      <c r="H194"/>
      <c r="I194"/>
    </row>
    <row r="195" spans="1:9" ht="17.25" customHeight="1">
      <c r="A195" s="55">
        <v>852</v>
      </c>
      <c r="B195" s="84" t="s">
        <v>146</v>
      </c>
      <c r="C195" s="85"/>
      <c r="D195" s="86"/>
      <c r="E195" s="18">
        <f>SUM(E196)</f>
        <v>610236.11999999988</v>
      </c>
      <c r="F195" s="28"/>
      <c r="G195" s="1"/>
      <c r="H195"/>
      <c r="I195"/>
    </row>
    <row r="196" spans="1:9" ht="17.25" customHeight="1">
      <c r="A196" s="38"/>
      <c r="B196" s="59">
        <v>85295</v>
      </c>
      <c r="C196" s="75" t="s">
        <v>67</v>
      </c>
      <c r="D196" s="76"/>
      <c r="E196" s="13">
        <f>SUM(E197:E199)</f>
        <v>610236.11999999988</v>
      </c>
      <c r="F196" s="28"/>
      <c r="G196" s="1"/>
      <c r="H196"/>
      <c r="I196"/>
    </row>
    <row r="197" spans="1:9" ht="47.25">
      <c r="A197" s="38"/>
      <c r="B197" s="68"/>
      <c r="C197" s="62">
        <v>2007</v>
      </c>
      <c r="D197" s="43" t="s">
        <v>87</v>
      </c>
      <c r="E197" s="60">
        <f>722+1185.94</f>
        <v>1907.94</v>
      </c>
      <c r="F197" s="33"/>
      <c r="G197" s="1"/>
      <c r="H197"/>
      <c r="I197"/>
    </row>
    <row r="198" spans="1:9" ht="49.5" customHeight="1">
      <c r="A198" s="38"/>
      <c r="B198" s="68"/>
      <c r="C198" s="69">
        <v>2707</v>
      </c>
      <c r="D198" s="70" t="s">
        <v>89</v>
      </c>
      <c r="E198" s="60">
        <f>453963+90855.73</f>
        <v>544818.73</v>
      </c>
      <c r="F198" s="33"/>
      <c r="G198" s="1"/>
      <c r="H198"/>
      <c r="I198"/>
    </row>
    <row r="199" spans="1:9" ht="52.5" customHeight="1">
      <c r="A199" s="38"/>
      <c r="B199" s="68"/>
      <c r="C199" s="69">
        <v>2709</v>
      </c>
      <c r="D199" s="70" t="s">
        <v>89</v>
      </c>
      <c r="E199" s="60">
        <f>52918+10591.45</f>
        <v>63509.45</v>
      </c>
      <c r="F199" s="33"/>
      <c r="G199" s="1"/>
      <c r="H199"/>
      <c r="I199"/>
    </row>
    <row r="200" spans="1:9" ht="15.75">
      <c r="A200" s="9">
        <v>853</v>
      </c>
      <c r="B200" s="77" t="s">
        <v>92</v>
      </c>
      <c r="C200" s="77"/>
      <c r="D200" s="77"/>
      <c r="E200" s="18">
        <f>E203+E201</f>
        <v>3071927.1099999994</v>
      </c>
      <c r="F200" s="28"/>
      <c r="G200" s="1"/>
      <c r="H200"/>
      <c r="I200"/>
    </row>
    <row r="201" spans="1:9" ht="20.25" customHeight="1">
      <c r="A201" s="9"/>
      <c r="B201" s="30">
        <v>85333</v>
      </c>
      <c r="C201" s="78" t="s">
        <v>147</v>
      </c>
      <c r="D201" s="79"/>
      <c r="E201" s="13">
        <f>SUM(E202)</f>
        <v>1186839.1599999999</v>
      </c>
      <c r="F201" s="28"/>
      <c r="G201" s="1"/>
      <c r="H201"/>
      <c r="I201"/>
    </row>
    <row r="202" spans="1:9" ht="21.75" customHeight="1">
      <c r="A202" s="71"/>
      <c r="B202" s="72"/>
      <c r="C202" s="21" t="s">
        <v>148</v>
      </c>
      <c r="D202" s="49" t="s">
        <v>149</v>
      </c>
      <c r="E202" s="73">
        <f>1124339.16+40000+2500+20000</f>
        <v>1186839.1599999999</v>
      </c>
      <c r="F202" s="54"/>
      <c r="G202" s="1"/>
      <c r="H202"/>
      <c r="I202"/>
    </row>
    <row r="203" spans="1:9" ht="20.25" customHeight="1">
      <c r="A203" s="9"/>
      <c r="B203" s="30">
        <v>85395</v>
      </c>
      <c r="C203" s="78" t="s">
        <v>67</v>
      </c>
      <c r="D203" s="79"/>
      <c r="E203" s="13">
        <f>SUM(E204:E207)</f>
        <v>1885087.9499999997</v>
      </c>
      <c r="F203" s="28"/>
      <c r="G203" s="1"/>
      <c r="H203"/>
      <c r="I203"/>
    </row>
    <row r="204" spans="1:9" ht="48.75" customHeight="1">
      <c r="A204" s="71"/>
      <c r="B204" s="72"/>
      <c r="C204" s="21" t="s">
        <v>130</v>
      </c>
      <c r="D204" s="44" t="s">
        <v>88</v>
      </c>
      <c r="E204" s="73">
        <f>606476+760868.75+47540.58-70145.87+28529.41</f>
        <v>1373268.8699999999</v>
      </c>
      <c r="F204" s="54"/>
      <c r="G204" s="1"/>
      <c r="H204"/>
      <c r="I204"/>
    </row>
    <row r="205" spans="1:9" ht="51" customHeight="1">
      <c r="A205" s="71"/>
      <c r="B205" s="72"/>
      <c r="C205" s="21" t="s">
        <v>131</v>
      </c>
      <c r="D205" s="44" t="s">
        <v>88</v>
      </c>
      <c r="E205" s="73">
        <f>113121+12214.72+8866.9-1126.1+458</f>
        <v>133534.51999999999</v>
      </c>
      <c r="F205" s="54"/>
      <c r="G205" s="1"/>
      <c r="H205"/>
      <c r="I205"/>
    </row>
    <row r="206" spans="1:9" ht="48.75" customHeight="1">
      <c r="A206" s="71"/>
      <c r="B206" s="72"/>
      <c r="C206" s="21" t="s">
        <v>150</v>
      </c>
      <c r="D206" s="44" t="s">
        <v>151</v>
      </c>
      <c r="E206" s="73">
        <f>330691.2+70145.87-28529.41</f>
        <v>372307.66000000003</v>
      </c>
      <c r="F206" s="54"/>
      <c r="G206" s="1"/>
      <c r="H206"/>
      <c r="I206"/>
    </row>
    <row r="207" spans="1:9" ht="51" customHeight="1">
      <c r="A207" s="71"/>
      <c r="B207" s="72"/>
      <c r="C207" s="21" t="s">
        <v>152</v>
      </c>
      <c r="D207" s="44" t="s">
        <v>151</v>
      </c>
      <c r="E207" s="73">
        <f>5308.8+1126.1-458</f>
        <v>5976.9</v>
      </c>
      <c r="F207" s="54"/>
      <c r="G207" s="1"/>
      <c r="H207"/>
      <c r="I207"/>
    </row>
    <row r="208" spans="1:9" ht="29.25" customHeight="1" thickBot="1">
      <c r="A208" s="80" t="s">
        <v>153</v>
      </c>
      <c r="B208" s="81"/>
      <c r="C208" s="81"/>
      <c r="D208" s="81"/>
      <c r="E208" s="74">
        <f>SUM(E7+E11+E18+E26+E35)</f>
        <v>236732249.46000001</v>
      </c>
      <c r="G208" s="65"/>
      <c r="H208"/>
      <c r="I208"/>
    </row>
    <row r="209" spans="8:16">
      <c r="H209"/>
      <c r="I209"/>
    </row>
    <row r="210" spans="8:16">
      <c r="H210"/>
      <c r="I210"/>
    </row>
    <row r="211" spans="8:16">
      <c r="H211"/>
      <c r="I211"/>
    </row>
    <row r="212" spans="8:16">
      <c r="H212"/>
      <c r="I212"/>
    </row>
    <row r="213" spans="8:16">
      <c r="H213" s="3"/>
      <c r="I213" s="3"/>
      <c r="J213" s="2"/>
      <c r="K213" s="2"/>
      <c r="L213" s="2"/>
      <c r="M213" s="2"/>
      <c r="N213" s="2"/>
      <c r="O213" s="2"/>
      <c r="P213" s="2"/>
    </row>
  </sheetData>
  <mergeCells count="115">
    <mergeCell ref="D1:E1"/>
    <mergeCell ref="A2:E2"/>
    <mergeCell ref="A3:E3"/>
    <mergeCell ref="A4:A5"/>
    <mergeCell ref="B4:B5"/>
    <mergeCell ref="C4:C5"/>
    <mergeCell ref="D4:D5"/>
    <mergeCell ref="E4:E5"/>
    <mergeCell ref="A18:D18"/>
    <mergeCell ref="B19:D19"/>
    <mergeCell ref="C20:D20"/>
    <mergeCell ref="B22:D22"/>
    <mergeCell ref="C23:D23"/>
    <mergeCell ref="A26:D26"/>
    <mergeCell ref="A7:D7"/>
    <mergeCell ref="B8:D8"/>
    <mergeCell ref="C9:D9"/>
    <mergeCell ref="A11:D11"/>
    <mergeCell ref="B12:D12"/>
    <mergeCell ref="C13:D13"/>
    <mergeCell ref="C37:D37"/>
    <mergeCell ref="B39:D39"/>
    <mergeCell ref="C40:D40"/>
    <mergeCell ref="C43:D43"/>
    <mergeCell ref="B46:D46"/>
    <mergeCell ref="C47:D47"/>
    <mergeCell ref="B27:D27"/>
    <mergeCell ref="C28:D28"/>
    <mergeCell ref="B32:D32"/>
    <mergeCell ref="C33:D33"/>
    <mergeCell ref="A35:D35"/>
    <mergeCell ref="B36:D36"/>
    <mergeCell ref="B60:D60"/>
    <mergeCell ref="C61:D61"/>
    <mergeCell ref="C63:D63"/>
    <mergeCell ref="B66:D66"/>
    <mergeCell ref="C67:D67"/>
    <mergeCell ref="C69:D69"/>
    <mergeCell ref="C49:D49"/>
    <mergeCell ref="C51:D51"/>
    <mergeCell ref="C53:D53"/>
    <mergeCell ref="C55:D55"/>
    <mergeCell ref="B57:D57"/>
    <mergeCell ref="C58:D58"/>
    <mergeCell ref="C80:D80"/>
    <mergeCell ref="B82:D82"/>
    <mergeCell ref="B83:D83"/>
    <mergeCell ref="C84:D84"/>
    <mergeCell ref="B87:D87"/>
    <mergeCell ref="C88:D88"/>
    <mergeCell ref="B71:D71"/>
    <mergeCell ref="B72:D72"/>
    <mergeCell ref="C73:D73"/>
    <mergeCell ref="B75:D75"/>
    <mergeCell ref="C76:D76"/>
    <mergeCell ref="B79:D79"/>
    <mergeCell ref="B106:D106"/>
    <mergeCell ref="B107:D107"/>
    <mergeCell ref="C108:D108"/>
    <mergeCell ref="B110:D110"/>
    <mergeCell ref="B111:D111"/>
    <mergeCell ref="C112:D112"/>
    <mergeCell ref="B94:D94"/>
    <mergeCell ref="C95:D95"/>
    <mergeCell ref="B98:D98"/>
    <mergeCell ref="C99:D99"/>
    <mergeCell ref="B102:D102"/>
    <mergeCell ref="C103:D103"/>
    <mergeCell ref="B125:D125"/>
    <mergeCell ref="C126:D126"/>
    <mergeCell ref="B128:D128"/>
    <mergeCell ref="C129:D129"/>
    <mergeCell ref="B132:D132"/>
    <mergeCell ref="B133:D133"/>
    <mergeCell ref="C115:D115"/>
    <mergeCell ref="B117:D117"/>
    <mergeCell ref="C118:D118"/>
    <mergeCell ref="B121:D121"/>
    <mergeCell ref="C122:D122"/>
    <mergeCell ref="B124:D124"/>
    <mergeCell ref="C148:D148"/>
    <mergeCell ref="C150:D150"/>
    <mergeCell ref="B152:D152"/>
    <mergeCell ref="C153:D153"/>
    <mergeCell ref="C156:D156"/>
    <mergeCell ref="B158:D158"/>
    <mergeCell ref="C134:D134"/>
    <mergeCell ref="C136:D136"/>
    <mergeCell ref="C138:D138"/>
    <mergeCell ref="C140:D140"/>
    <mergeCell ref="B146:D146"/>
    <mergeCell ref="B147:D147"/>
    <mergeCell ref="C171:D171"/>
    <mergeCell ref="C175:D175"/>
    <mergeCell ref="B177:D177"/>
    <mergeCell ref="B178:D178"/>
    <mergeCell ref="C179:D179"/>
    <mergeCell ref="B181:D181"/>
    <mergeCell ref="B159:D159"/>
    <mergeCell ref="C160:D160"/>
    <mergeCell ref="C162:D162"/>
    <mergeCell ref="B167:D167"/>
    <mergeCell ref="C168:D168"/>
    <mergeCell ref="B170:D170"/>
    <mergeCell ref="C196:D196"/>
    <mergeCell ref="B200:D200"/>
    <mergeCell ref="C201:D201"/>
    <mergeCell ref="C203:D203"/>
    <mergeCell ref="A208:D208"/>
    <mergeCell ref="B182:D182"/>
    <mergeCell ref="C183:D183"/>
    <mergeCell ref="B188:D188"/>
    <mergeCell ref="B189:D189"/>
    <mergeCell ref="C190:D190"/>
    <mergeCell ref="B195:D195"/>
  </mergeCells>
  <pageMargins left="0.35433070866141736" right="0.15748031496062992" top="0.94488188976377963" bottom="0.74803149606299213" header="0.15748031496062992" footer="0.31496062992125984"/>
  <pageSetup paperSize="9" scale="72" orientation="portrait" r:id="rId1"/>
  <headerFooter>
    <oddFooter>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DOCHODY</vt:lpstr>
      <vt:lpstr>DOCHODY!Obszar_wydruku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Izabela Kusak</dc:creator>
  <cp:lastModifiedBy>Grażyna Jaworska</cp:lastModifiedBy>
  <dcterms:created xsi:type="dcterms:W3CDTF">2021-12-09T11:00:52Z</dcterms:created>
  <dcterms:modified xsi:type="dcterms:W3CDTF">2021-12-09T12:16:25Z</dcterms:modified>
</cp:coreProperties>
</file>