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WYDATKI" sheetId="1" r:id="rId1"/>
  </sheets>
  <definedNames>
    <definedName name="_xlnm.Print_Area" localSheetId="0">WYDATKI!$A$1:$E$494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2" i="1" l="1"/>
  <c r="E490" i="1"/>
  <c r="E487" i="1"/>
  <c r="E485" i="1"/>
  <c r="E484" i="1" s="1"/>
  <c r="E483" i="1"/>
  <c r="E482" i="1" s="1"/>
  <c r="E480" i="1"/>
  <c r="E479" i="1"/>
  <c r="E474" i="1"/>
  <c r="E473" i="1" s="1"/>
  <c r="E467" i="1"/>
  <c r="E466" i="1" s="1"/>
  <c r="E465" i="1"/>
  <c r="E464" i="1"/>
  <c r="E463" i="1" s="1"/>
  <c r="E461" i="1"/>
  <c r="E460" i="1" s="1"/>
  <c r="E459" i="1"/>
  <c r="E456" i="1"/>
  <c r="E453" i="1"/>
  <c r="E452" i="1"/>
  <c r="E446" i="1"/>
  <c r="E445" i="1"/>
  <c r="E442" i="1"/>
  <c r="E440" i="1"/>
  <c r="E439" i="1"/>
  <c r="E438" i="1"/>
  <c r="E437" i="1"/>
  <c r="E436" i="1"/>
  <c r="E435" i="1"/>
  <c r="E434" i="1"/>
  <c r="E430" i="1"/>
  <c r="E425" i="1"/>
  <c r="E419" i="1"/>
  <c r="E416" i="1"/>
  <c r="E414" i="1"/>
  <c r="E412" i="1"/>
  <c r="E411" i="1"/>
  <c r="E410" i="1"/>
  <c r="E409" i="1"/>
  <c r="E406" i="1" s="1"/>
  <c r="E407" i="1"/>
  <c r="E405" i="1"/>
  <c r="E404" i="1"/>
  <c r="E402" i="1"/>
  <c r="E399" i="1"/>
  <c r="E398" i="1"/>
  <c r="E397" i="1" s="1"/>
  <c r="E395" i="1"/>
  <c r="E394" i="1"/>
  <c r="E393" i="1"/>
  <c r="E392" i="1"/>
  <c r="E391" i="1"/>
  <c r="E389" i="1"/>
  <c r="E388" i="1"/>
  <c r="E386" i="1"/>
  <c r="E385" i="1" s="1"/>
  <c r="E384" i="1"/>
  <c r="E383" i="1"/>
  <c r="E382" i="1"/>
  <c r="E381" i="1"/>
  <c r="E380" i="1"/>
  <c r="E379" i="1"/>
  <c r="E378" i="1"/>
  <c r="E377" i="1"/>
  <c r="E375" i="1"/>
  <c r="E374" i="1"/>
  <c r="E372" i="1"/>
  <c r="E371" i="1" s="1"/>
  <c r="E370" i="1"/>
  <c r="E369" i="1"/>
  <c r="E368" i="1"/>
  <c r="E367" i="1" s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4" i="1"/>
  <c r="E333" i="1" s="1"/>
  <c r="E329" i="1"/>
  <c r="E328" i="1"/>
  <c r="E326" i="1"/>
  <c r="E325" i="1"/>
  <c r="E324" i="1"/>
  <c r="E323" i="1"/>
  <c r="E315" i="1"/>
  <c r="E314" i="1" s="1"/>
  <c r="E311" i="1"/>
  <c r="E310" i="1"/>
  <c r="E309" i="1"/>
  <c r="E308" i="1"/>
  <c r="E303" i="1"/>
  <c r="E297" i="1"/>
  <c r="E296" i="1" s="1"/>
  <c r="E293" i="1"/>
  <c r="E292" i="1"/>
  <c r="E291" i="1"/>
  <c r="E290" i="1"/>
  <c r="E289" i="1"/>
  <c r="E288" i="1"/>
  <c r="E287" i="1"/>
  <c r="E286" i="1"/>
  <c r="E285" i="1"/>
  <c r="E284" i="1"/>
  <c r="E282" i="1"/>
  <c r="E280" i="1"/>
  <c r="E279" i="1"/>
  <c r="E278" i="1"/>
  <c r="E277" i="1"/>
  <c r="E275" i="1" s="1"/>
  <c r="E273" i="1"/>
  <c r="E272" i="1" s="1"/>
  <c r="E271" i="1"/>
  <c r="E268" i="1"/>
  <c r="E267" i="1"/>
  <c r="E266" i="1"/>
  <c r="E261" i="1"/>
  <c r="E260" i="1"/>
  <c r="E258" i="1"/>
  <c r="E253" i="1" s="1"/>
  <c r="E251" i="1"/>
  <c r="E250" i="1"/>
  <c r="E249" i="1"/>
  <c r="E248" i="1" s="1"/>
  <c r="E245" i="1"/>
  <c r="E244" i="1" s="1"/>
  <c r="E243" i="1"/>
  <c r="E242" i="1"/>
  <c r="E241" i="1" s="1"/>
  <c r="E240" i="1" s="1"/>
  <c r="E238" i="1"/>
  <c r="E237" i="1" s="1"/>
  <c r="E236" i="1"/>
  <c r="E235" i="1" s="1"/>
  <c r="E231" i="1"/>
  <c r="E229" i="1"/>
  <c r="E225" i="1"/>
  <c r="E224" i="1" s="1"/>
  <c r="E223" i="1"/>
  <c r="E220" i="1"/>
  <c r="E219" i="1"/>
  <c r="E218" i="1"/>
  <c r="E217" i="1"/>
  <c r="E215" i="1"/>
  <c r="E214" i="1" s="1"/>
  <c r="E207" i="1"/>
  <c r="E206" i="1"/>
  <c r="E205" i="1"/>
  <c r="E204" i="1"/>
  <c r="E203" i="1"/>
  <c r="E202" i="1"/>
  <c r="E201" i="1"/>
  <c r="E200" i="1"/>
  <c r="E199" i="1"/>
  <c r="E196" i="1"/>
  <c r="E195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4" i="1"/>
  <c r="E173" i="1"/>
  <c r="E172" i="1" s="1"/>
  <c r="E171" i="1" s="1"/>
  <c r="E170" i="1"/>
  <c r="E169" i="1" s="1"/>
  <c r="E166" i="1" s="1"/>
  <c r="E167" i="1"/>
  <c r="E165" i="1"/>
  <c r="E164" i="1"/>
  <c r="E163" i="1"/>
  <c r="E160" i="1"/>
  <c r="E159" i="1"/>
  <c r="E155" i="1"/>
  <c r="E154" i="1" s="1"/>
  <c r="E151" i="1"/>
  <c r="E150" i="1"/>
  <c r="E141" i="1"/>
  <c r="E140" i="1"/>
  <c r="E139" i="1"/>
  <c r="E138" i="1" s="1"/>
  <c r="E135" i="1"/>
  <c r="E133" i="1"/>
  <c r="E131" i="1"/>
  <c r="E129" i="1"/>
  <c r="E128" i="1"/>
  <c r="E127" i="1"/>
  <c r="E126" i="1"/>
  <c r="E125" i="1"/>
  <c r="E124" i="1"/>
  <c r="E123" i="1"/>
  <c r="E121" i="1"/>
  <c r="E119" i="1"/>
  <c r="E118" i="1"/>
  <c r="E117" i="1"/>
  <c r="E116" i="1"/>
  <c r="E114" i="1"/>
  <c r="E113" i="1"/>
  <c r="E111" i="1"/>
  <c r="E109" i="1"/>
  <c r="E108" i="1"/>
  <c r="E105" i="1"/>
  <c r="E103" i="1"/>
  <c r="E101" i="1"/>
  <c r="E100" i="1"/>
  <c r="E99" i="1"/>
  <c r="E98" i="1"/>
  <c r="E97" i="1"/>
  <c r="E91" i="1"/>
  <c r="E89" i="1"/>
  <c r="E88" i="1"/>
  <c r="E86" i="1"/>
  <c r="E84" i="1"/>
  <c r="E82" i="1"/>
  <c r="E69" i="1"/>
  <c r="E68" i="1"/>
  <c r="E65" i="1"/>
  <c r="E63" i="1" s="1"/>
  <c r="E60" i="1"/>
  <c r="E59" i="1"/>
  <c r="E58" i="1"/>
  <c r="E57" i="1"/>
  <c r="E56" i="1"/>
  <c r="E51" i="1"/>
  <c r="E50" i="1"/>
  <c r="E48" i="1"/>
  <c r="E47" i="1"/>
  <c r="E46" i="1"/>
  <c r="E42" i="1"/>
  <c r="E41" i="1"/>
  <c r="E40" i="1"/>
  <c r="E38" i="1"/>
  <c r="E36" i="1"/>
  <c r="E35" i="1"/>
  <c r="E34" i="1"/>
  <c r="E32" i="1" s="1"/>
  <c r="E31" i="1" s="1"/>
  <c r="E30" i="1"/>
  <c r="E29" i="1" s="1"/>
  <c r="E27" i="1"/>
  <c r="E26" i="1" s="1"/>
  <c r="E24" i="1"/>
  <c r="E23" i="1"/>
  <c r="E22" i="1" s="1"/>
  <c r="E19" i="1"/>
  <c r="E14" i="1"/>
  <c r="E12" i="1"/>
  <c r="E8" i="1"/>
  <c r="E7" i="1" s="1"/>
  <c r="E120" i="1" l="1"/>
  <c r="E90" i="1" s="1"/>
  <c r="E418" i="1"/>
  <c r="E176" i="1"/>
  <c r="E175" i="1" s="1"/>
  <c r="E489" i="1"/>
  <c r="E55" i="1"/>
  <c r="E96" i="1"/>
  <c r="E54" i="1"/>
  <c r="E134" i="1"/>
  <c r="E21" i="1"/>
  <c r="E62" i="1"/>
  <c r="E376" i="1"/>
  <c r="E11" i="1"/>
  <c r="E264" i="1"/>
  <c r="E274" i="1"/>
  <c r="E301" i="1"/>
  <c r="E319" i="1"/>
  <c r="E353" i="1"/>
  <c r="E403" i="1"/>
  <c r="E433" i="1"/>
  <c r="E444" i="1"/>
  <c r="E216" i="1"/>
  <c r="E213" i="1" s="1"/>
  <c r="E234" i="1"/>
  <c r="E295" i="1"/>
  <c r="E304" i="1"/>
  <c r="E335" i="1"/>
  <c r="E413" i="1"/>
  <c r="E449" i="1"/>
  <c r="E472" i="1"/>
  <c r="E478" i="1"/>
  <c r="E158" i="1"/>
  <c r="E247" i="1"/>
  <c r="E80" i="1"/>
  <c r="E132" i="1"/>
  <c r="E144" i="1"/>
  <c r="E228" i="1"/>
  <c r="E373" i="1"/>
  <c r="E387" i="1"/>
  <c r="E401" i="1"/>
  <c r="E227" i="1" l="1"/>
  <c r="E79" i="1"/>
  <c r="E477" i="1"/>
  <c r="E432" i="1"/>
  <c r="E10" i="1"/>
  <c r="E61" i="1"/>
  <c r="E270" i="1"/>
  <c r="E332" i="1"/>
  <c r="E143" i="1"/>
  <c r="E157" i="1"/>
  <c r="E448" i="1"/>
  <c r="E318" i="1"/>
  <c r="E396" i="1"/>
  <c r="E53" i="1"/>
  <c r="E443" i="1"/>
  <c r="E300" i="1"/>
  <c r="E263" i="1"/>
  <c r="E20" i="1"/>
  <c r="E259" i="1" l="1"/>
  <c r="E476" i="1"/>
  <c r="E67" i="1"/>
  <c r="E153" i="1"/>
  <c r="E299" i="1"/>
  <c r="E317" i="1"/>
  <c r="E6" i="1"/>
  <c r="E447" i="1" l="1"/>
  <c r="E494" i="1" l="1"/>
</calcChain>
</file>

<file path=xl/sharedStrings.xml><?xml version="1.0" encoding="utf-8"?>
<sst xmlns="http://schemas.openxmlformats.org/spreadsheetml/2006/main" count="505" uniqueCount="223">
  <si>
    <t xml:space="preserve">         PLAN FINANSOWY WYDATKÓW STAROSTWA POWIATOWEGO W KIELCACH NA 2021 ROK</t>
  </si>
  <si>
    <t xml:space="preserve">stan na dzień 1 grudnia 2021r. </t>
  </si>
  <si>
    <t>Dział</t>
  </si>
  <si>
    <t>Rozdział</t>
  </si>
  <si>
    <t>Paragraf</t>
  </si>
  <si>
    <t>Treść</t>
  </si>
  <si>
    <t>Kwota</t>
  </si>
  <si>
    <t>ZESPÓŁ WSPARCIA INFORMATYCZNEGO</t>
  </si>
  <si>
    <t>Informatyka</t>
  </si>
  <si>
    <t>Pozostała działalność</t>
  </si>
  <si>
    <t>Zakup usług pozostałych</t>
  </si>
  <si>
    <t>Administracja publiczna</t>
  </si>
  <si>
    <t>Starostwa powiatowe</t>
  </si>
  <si>
    <t>Zakup materiałów i wyposażenia</t>
  </si>
  <si>
    <t xml:space="preserve">Zakup usług remontowych </t>
  </si>
  <si>
    <t>Opłaty z tytułu zakupu usług telekomunikacyjnych</t>
  </si>
  <si>
    <t>Zakup usług obejmujących wykonanie ekspertyz, analiz i opinii</t>
  </si>
  <si>
    <t>Różne opłaty i składki</t>
  </si>
  <si>
    <t>Szkolenia pracowników niebędących członkami korpusu służby cywilnej</t>
  </si>
  <si>
    <t>Wydatki na zakupy inwestycyjne jednostek budżetowych</t>
  </si>
  <si>
    <t>WYDZIAŁ ZDROWIA I POLITYKI SPOŁECZNEJ</t>
  </si>
  <si>
    <t>Ochrona zdrowia</t>
  </si>
  <si>
    <r>
      <rPr>
        <i/>
        <sz val="12"/>
        <color indexed="8"/>
        <rFont val="Times New Roman"/>
        <family val="1"/>
        <charset val="238"/>
      </rPr>
      <t>Szpitale ogólne</t>
    </r>
    <r>
      <rPr>
        <sz val="12"/>
        <color indexed="8"/>
        <rFont val="Times New Roman"/>
        <family val="1"/>
        <charset val="238"/>
      </rPr>
      <t xml:space="preserve"> </t>
    </r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</si>
  <si>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</si>
  <si>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innych jednostek sektora finansów publicznych (Rządowy Fundusz Inwestycji Lokalnych)</t>
  </si>
  <si>
    <t xml:space="preserve">Lecznictwo ambulatoryjne </t>
  </si>
  <si>
    <t>Opłaty za administrowanie i czynsze za budynki, lokale i pomieszczenia garażowe</t>
  </si>
  <si>
    <t>Pozostałe zadania w zakresie polityki społecznej</t>
  </si>
  <si>
    <t>Zespoły do spraw orzekania o niepełnosprawności</t>
  </si>
  <si>
    <t>Wynagrodzenia osobowe pracowników</t>
  </si>
  <si>
    <t>Wynagrodzenia osobowe pracowników (§2110)</t>
  </si>
  <si>
    <t xml:space="preserve">Dodatkowe wynagrodzenia roczne </t>
  </si>
  <si>
    <t>Dodatkowe wynagrodzenie roczne (§2110)</t>
  </si>
  <si>
    <t>Składki na ubezpieczenia społeczne</t>
  </si>
  <si>
    <t>Składki na ubezpieczenia społeczne (§2110)</t>
  </si>
  <si>
    <t xml:space="preserve">Składki na Fundusz Pracy oraz Fundusz Solidarnościowy </t>
  </si>
  <si>
    <t>Składki na Fundusz Pracy oraz Fundusz Solidarnościowy (§2110)</t>
  </si>
  <si>
    <t>Wynagrodzenia bezosobowe</t>
  </si>
  <si>
    <t>Wynagrodzenia bezosobowe (§2110)</t>
  </si>
  <si>
    <t>Wpłaty na PPK finansowane przez podmiot zatrudniający (§2110)</t>
  </si>
  <si>
    <t xml:space="preserve">Wpłaty na PPK finansowane przez podmiot zatrudniający </t>
  </si>
  <si>
    <t xml:space="preserve">Zakup materiałów i wyposażenia </t>
  </si>
  <si>
    <t>Zakup materiałów i wyposażenia (§2110)</t>
  </si>
  <si>
    <t>Zakup usług pozostałych (§2110)</t>
  </si>
  <si>
    <t>Odpisy na zakładowy fundusz świadczeń socjalnych</t>
  </si>
  <si>
    <t>Odpisy na zakładowy fundusz świadczeń socjalnych (§2110)</t>
  </si>
  <si>
    <t>Świadczenia społeczne (§2110)</t>
  </si>
  <si>
    <t>ZESPÓŁ RADCÓW PRAWNYCH</t>
  </si>
  <si>
    <t>Koszty postępowania sądowego i prokuratorskiego</t>
  </si>
  <si>
    <t xml:space="preserve">Wpłaty na PPK finansowane przez pomiot zatrudniający </t>
  </si>
  <si>
    <t>WYDZIAŁ BUDOWNICTWA</t>
  </si>
  <si>
    <t xml:space="preserve">Różne opłaty i składki </t>
  </si>
  <si>
    <t>WYDZIAŁ ORGANIZACJI I ZARZĄDZANIA KRYZYSOWEGO</t>
  </si>
  <si>
    <t>Gospodarka mieszkaniowa</t>
  </si>
  <si>
    <t>Gospodarka gruntami i nieruchomościami</t>
  </si>
  <si>
    <t xml:space="preserve">Wynagrodzenia osobowe pracowników </t>
  </si>
  <si>
    <t xml:space="preserve">Dodatkowe wynagrodzenie roczne </t>
  </si>
  <si>
    <t>Składki na ubezpieczenia społeczne  (§2110)</t>
  </si>
  <si>
    <t xml:space="preserve">Składki na ubezpieczenia społeczne  </t>
  </si>
  <si>
    <t>Składki na Fudzusz Pracy oraz Fundusz Solidarnościowy  (§2110)</t>
  </si>
  <si>
    <t>Działalność usługowa</t>
  </si>
  <si>
    <t>Zadania z zakresu geodezji i kartografii</t>
  </si>
  <si>
    <t>Rady powiatów</t>
  </si>
  <si>
    <t>Różne wydatki na rzecz osób fizycznych</t>
  </si>
  <si>
    <t xml:space="preserve">Wydatki osobowe niezaliczane do wynagrodzeń </t>
  </si>
  <si>
    <t>Dodatkowe wynagrodzenie roczne</t>
  </si>
  <si>
    <t xml:space="preserve">Wynagrodzenia bezosobowe </t>
  </si>
  <si>
    <t>Zakup środków żywności</t>
  </si>
  <si>
    <t>Zakup energii</t>
  </si>
  <si>
    <t>Zakup usług remontowych</t>
  </si>
  <si>
    <t>Zakup usług zdrowotnych</t>
  </si>
  <si>
    <t xml:space="preserve">Opłaty za administrowanie i czynsze za budynki, lokale i pomieszczenia garażowe </t>
  </si>
  <si>
    <t>Podróże służbowe krajowe</t>
  </si>
  <si>
    <t>Opłaty na rzecz budżetów jednostek samorządu terytorialnego</t>
  </si>
  <si>
    <t>Kary, odszkodowania i grzywny wypłacane na rzecz osób prawnych i innych jednostek organizacyjnych</t>
  </si>
  <si>
    <t xml:space="preserve">Wydatki inwestycyjne jednostek budżetowych </t>
  </si>
  <si>
    <t xml:space="preserve">Wydatki na zakupy inwestycyjne jednostek budżetowych                                                      </t>
  </si>
  <si>
    <t>Kwalifikacja wojskowa</t>
  </si>
  <si>
    <t>Różne wydatki na rzecz osób fizycznych  (§2120)</t>
  </si>
  <si>
    <t>Wynagrodzenia osobowe pracowników  (§2110)</t>
  </si>
  <si>
    <t>Składki na Fundzusz Pracy oraz Fundusz Solidarnościowy  (§2110)</t>
  </si>
  <si>
    <t>Wynagrodzenia bezosobowe  (§2110)</t>
  </si>
  <si>
    <t>Zakup materiałów i wyposażenia  (§2110)</t>
  </si>
  <si>
    <t>Zakup środków żywności  (§2110)</t>
  </si>
  <si>
    <t>Zakup usług zdrowotnych  (§2120)</t>
  </si>
  <si>
    <t>Zakup usług pozostałych (§2120)</t>
  </si>
  <si>
    <t>Opłaty za administrowanie i czynsze za budynki, lokale i pomieszczenia garażowe  (§2110)</t>
  </si>
  <si>
    <t>Bezpieczeństwo publiczne i ochrona przeciwpożarowa</t>
  </si>
  <si>
    <t xml:space="preserve">Komendy powiatowe Policji </t>
  </si>
  <si>
    <t xml:space="preserve">Wpłaty jednostek na państwowy fundusz celowy </t>
  </si>
  <si>
    <t>Wpłaty jednostek na państwowy fundusz celowy na finansowanie lub dofinansowanie zadań inwestycyjnych</t>
  </si>
  <si>
    <t>Zarządzanie kryzysowe</t>
  </si>
  <si>
    <t>Zakup usług pozostałych (Fundusz Przeciwdziałania COVID-19)</t>
  </si>
  <si>
    <t>Rezerwy</t>
  </si>
  <si>
    <t>Wymiar sprawiedliwości</t>
  </si>
  <si>
    <t>Nieodpłatna pomoc prawna</t>
  </si>
  <si>
    <t>Dotacje celowe z budżetu jednostki samorządu terytorialnego, udzielone w trybie art.221 ustawy, na finansowanie lub dofinansowanie zadań zleconych do realizacji organizacjom prowadzącym działalnośc pożytku publicznego  (§2110)</t>
  </si>
  <si>
    <t xml:space="preserve">Zwrot dotacji oraz płatności wykorzystanych niezgodnie z przeznaczeniem lub wykorzystanych z naruszeniem procedur, o których mowa w art.184 ustawy, pobranych nienależnie lub w nadmiernej wysokości </t>
  </si>
  <si>
    <t xml:space="preserve">Odsetki od dotacji oraz płatności: wykorzystanych niezgodnie z przeznaczeniem lub wykorzystanych z naruszeniem procedur, o których mowa w art.184 ustawy, pobranych nienależnie lub w nadmiernej wysokości </t>
  </si>
  <si>
    <t>WYDZIAŁ STRATEGII I ROZWOJU</t>
  </si>
  <si>
    <r>
      <t>Wydatki na zakupy inwestycyjne jednostek budżetowych (Rządowy Fundusz Inwestycji Lokalnych) (</t>
    </r>
    <r>
      <rPr>
        <sz val="12"/>
        <color indexed="8"/>
        <rFont val="Calibri"/>
        <family val="2"/>
        <charset val="238"/>
      </rPr>
      <t>§</t>
    </r>
    <r>
      <rPr>
        <sz val="12"/>
        <color indexed="8"/>
        <rFont val="Times New Roman"/>
        <family val="1"/>
        <charset val="238"/>
      </rPr>
      <t>6290)</t>
    </r>
  </si>
  <si>
    <t>Wydatki inwestycyjne jednostek budżetowych</t>
  </si>
  <si>
    <t>Promocja jednostek samorządu terytorialnego</t>
  </si>
  <si>
    <t>Oświata i wychowanie</t>
  </si>
  <si>
    <t xml:space="preserve"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</si>
  <si>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 xml:space="preserve">Dotacje celowe w ramach programów finansowanych z udziałem środków europejskich oraz środków, o których mowa w art. 5 ust. 3 pkt 5 lit. a i b ustawy, lub płatności w ramach budżetu środków europejskich, realizowanych przez jednostki samorządu terytorialnego </t>
  </si>
  <si>
    <t xml:space="preserve">Składki na Fudzusz Pracy oraz Fundusz Solidarnościowy  </t>
  </si>
  <si>
    <t xml:space="preserve">Zakup środków dydaktycznych i książek </t>
  </si>
  <si>
    <t xml:space="preserve">Zakup usług zdrowotnych  </t>
  </si>
  <si>
    <t xml:space="preserve">Zakup usług obejmujących tłumaczenia </t>
  </si>
  <si>
    <t>Podróże służbowe zagraniczne</t>
  </si>
  <si>
    <t>Wydatki inwestycyjne jednostek budżetowych ((Rządowy Fundusz Inwestycji Lokalnych))</t>
  </si>
  <si>
    <t xml:space="preserve">Szpitale pozostałe </t>
  </si>
  <si>
    <t>Rodzina</t>
  </si>
  <si>
    <t xml:space="preserve">Działalność placówek opiekuńczo-wychowawczych </t>
  </si>
  <si>
    <t>WYDZIAŁ ROLNICTWA LEŚNICTWA I ŚRODOWISKA</t>
  </si>
  <si>
    <t>010</t>
  </si>
  <si>
    <t>Rolnictwo i łowiectwo</t>
  </si>
  <si>
    <t>01008</t>
  </si>
  <si>
    <t>Melioracje wodne</t>
  </si>
  <si>
    <t>Dotacja celowa na pomoc finansową udzielaną między jednostkami samorządu terytorialnego na dofinansowanie własnych zadań bieżących</t>
  </si>
  <si>
    <t>01095</t>
  </si>
  <si>
    <t>Nagrody konkursowe</t>
  </si>
  <si>
    <t>020</t>
  </si>
  <si>
    <t>Leśnictwo</t>
  </si>
  <si>
    <t>02001</t>
  </si>
  <si>
    <t>Gospodarka leśna</t>
  </si>
  <si>
    <t>Różne wydatki na rzecz osób fizycznych (§2460)</t>
  </si>
  <si>
    <t>02002</t>
  </si>
  <si>
    <t>Nadzór nad gospodarką leśną</t>
  </si>
  <si>
    <t xml:space="preserve">Bezpieczeństwo publiczne i ochrona przeciwpożarowa </t>
  </si>
  <si>
    <t>Komendy powiatowe Państwowej Straży Pożarnej</t>
  </si>
  <si>
    <t>Gospodarka komunalna i ochrona środowiska</t>
  </si>
  <si>
    <t>Ochrona gleby i wód podziemnych</t>
  </si>
  <si>
    <t xml:space="preserve">Zakup usług pozostałych </t>
  </si>
  <si>
    <t xml:space="preserve">Zakup usług obejmujących wykonanie ekspertyz, analiz i opinii </t>
  </si>
  <si>
    <t>Zmniejszenie hałasu i wibracji</t>
  </si>
  <si>
    <t>Wpływy i wydatki związane z gromadzeniem środków z opłat i kar za korzystanie ze środowiska</t>
  </si>
  <si>
    <t>WYDZIAŁ KOMUNIKACJI I TRANSPORTU</t>
  </si>
  <si>
    <t>Transport i łączność</t>
  </si>
  <si>
    <t>Zakup usług obejmujących tłumaczenia</t>
  </si>
  <si>
    <t xml:space="preserve">Koszty postępowania sądowego i prokuratorskiego </t>
  </si>
  <si>
    <t>WYDZIAŁ GEODEZJI I GOSPODARKI NIERUCHOMOŚCIAMI</t>
  </si>
  <si>
    <t>01005</t>
  </si>
  <si>
    <t>Prace geodezyjno-urządzeniowe na potrzeby rolnictwa</t>
  </si>
  <si>
    <t>Zakup usług obejmujących wykonanie ekspertyz, analiz i opinii (§2110)</t>
  </si>
  <si>
    <t>Podatek od nieruchomości</t>
  </si>
  <si>
    <t>Podatek od nieruchomości (§2110)</t>
  </si>
  <si>
    <t>Pozostałe podatki na rzecz budżetów jst (§2110)</t>
  </si>
  <si>
    <t xml:space="preserve">Pozostałe podatki na rzecz budżetów jst </t>
  </si>
  <si>
    <t xml:space="preserve">Opłaty na rzecz budżetów jednostek samorządu terytorialnego </t>
  </si>
  <si>
    <t>Opłaty na rzecz budżetów jednostek samorządu terytorialnego (§2110)</t>
  </si>
  <si>
    <t>Pozostałe odsetki (§2110)</t>
  </si>
  <si>
    <t>Kary i odszkodowania wypłacane na rzecz osób fizycznych (§2110)</t>
  </si>
  <si>
    <t xml:space="preserve">Kary i odszkodowania wypłacane na rzecz osób fizycznych </t>
  </si>
  <si>
    <t>Koszty postępowania sądowego i prokuratorskiego (§2110)</t>
  </si>
  <si>
    <t>ZESPÓŁ  INFORMACJI I PROMOCJI</t>
  </si>
  <si>
    <t xml:space="preserve">Honoraria </t>
  </si>
  <si>
    <t>Kultura i ochrona dziedzictwa narodowego</t>
  </si>
  <si>
    <t>Dotacje celowe przekazane dla powiatu na zadania bieżące realizowane na podstawie porozumień (umów) między jednostkami samorządu terytorialnego</t>
  </si>
  <si>
    <t>WYDZIAŁ EDUKACJI, KULTURY, SPORTU I TURYSTYKI</t>
  </si>
  <si>
    <t>Turystyka</t>
  </si>
  <si>
    <t>Zadania w zakresie upowszechniania turystyki</t>
  </si>
  <si>
    <t xml:space="preserve">Dotacje celowe z budżetu jednostki samorządu terytorialnego, udzielone w trybie art.221 ustawy, na finansowanie lub dofinansowanie zadań zleconych do realizacji organizacjom prowadzącym działalnośc pożytku publicznego </t>
  </si>
  <si>
    <t>Szkoły podstawowe specjalne</t>
  </si>
  <si>
    <t xml:space="preserve">Dotacja podmiotowa z budżetu dla niepublicznej jednostki systemu oświaty </t>
  </si>
  <si>
    <t xml:space="preserve">Technika </t>
  </si>
  <si>
    <t xml:space="preserve">Dotacja podmiotowa z budżetu dla publicznej jednostki systemu oświaty prowadzonej przez osobę prawną inną niż jednostka samorządu terytorialnego lub przez osobę fizyczną </t>
  </si>
  <si>
    <t>Składki na Fundusz Pracy oraz Fundusz Solidarnościowy</t>
  </si>
  <si>
    <t xml:space="preserve">Odpisy na zakładowy fundusz świadczeń socjalnych </t>
  </si>
  <si>
    <t>Wpłaty na PPK finansowane przez podmiot zatrudniający</t>
  </si>
  <si>
    <t xml:space="preserve">Składki na Fundusz Emerytur Pomostowych </t>
  </si>
  <si>
    <t>Szkoły policealne</t>
  </si>
  <si>
    <t>Licea ogólnokształcące</t>
  </si>
  <si>
    <t>Licea ogólnokształcące specjalne</t>
  </si>
  <si>
    <t xml:space="preserve">Szkoły zawodowe specjalne </t>
  </si>
  <si>
    <t>Dokształcanie i doskonalenie nauczycieli</t>
  </si>
  <si>
    <t>Realizacja zadań wymagających stosowania specjalnej organizacji nauki i metod pracy dla dzieci i młodzieży w gimnazjach, klasach dotychczasowego gimnazjum prowadzonych w  szkołach innego typu, liceach ogólnokształcących, technikach, szkołach policealnych,branżowych szkołach I i II stopnia i klasach dotychczasowej zasadniczej szkoły zawodowej prowadzonych w branżowych szkołach I stopnia oraz szkołach artystycznych</t>
  </si>
  <si>
    <t xml:space="preserve">Zapewnienie uczniom prawa do bezpłatnego dostępu do podręczników, materiałów edukacyjnych lub materiałów ćwiczeniowych </t>
  </si>
  <si>
    <r>
      <t>Dotacja celowa z budżetu na finansowanie lub dofinansowanie zadań zleconych do realizacji pozostałym jednostkom niezaliczanym do sektora finansów publicznych (</t>
    </r>
    <r>
      <rPr>
        <sz val="12"/>
        <color theme="1"/>
        <rFont val="Calibri"/>
        <family val="2"/>
        <charset val="238"/>
      </rPr>
      <t>§</t>
    </r>
    <r>
      <rPr>
        <sz val="12"/>
        <color theme="1"/>
        <rFont val="Times New Roman"/>
        <family val="1"/>
        <charset val="238"/>
      </rPr>
      <t xml:space="preserve"> 2110)</t>
    </r>
  </si>
  <si>
    <t xml:space="preserve">Stypendia dla uczniów </t>
  </si>
  <si>
    <t>Edukacyjna opieka wychowawcza</t>
  </si>
  <si>
    <t>Domy wczasów dziecięcych</t>
  </si>
  <si>
    <t>Dotacja podmiotowa z budżetu dla niepublicznej jednostki systemu oświaty</t>
  </si>
  <si>
    <t>Szkolne schroniska młodzieżowe</t>
  </si>
  <si>
    <t>Młodzieżowe ośrodki wychowawcze</t>
  </si>
  <si>
    <t>Biblioteki</t>
  </si>
  <si>
    <t>Dotacja podmiotowa z budżetu dla samorządowej instytucji kultury</t>
  </si>
  <si>
    <t xml:space="preserve">Ochrona zabytków i opieka nad zabytkami </t>
  </si>
  <si>
    <t>Dotacje celowe z budżetu na finansowanie lub dofinansowanie prac remontowych i konserwatorskich obiektów zabytkowych, przekazane jednostkom niezaliczanym do sektora finansów publicznych</t>
  </si>
  <si>
    <t>Nagrody o charakterze szczególnym niezaliczone do wynagrodzeń</t>
  </si>
  <si>
    <t>Honoraria</t>
  </si>
  <si>
    <t xml:space="preserve">Zakup usług zdrowotnych </t>
  </si>
  <si>
    <t xml:space="preserve">Kultura fizyczna </t>
  </si>
  <si>
    <t xml:space="preserve">Dotacje celowe z budżetu jednostki samorządu terytorialnego, udzielone w trybie art.221 ustawy, na finansowanie lub dofinansowanie zadań zleconych do realizacji organizacjom prowadzącym działalność pożytku publicznego </t>
  </si>
  <si>
    <t>PEŁNOMOCNIK DS. SYSTEMU ZARZĄDZANIA JAKOŚCIĄ</t>
  </si>
  <si>
    <t>WYDZIAŁ BUDŻETU I FINANSÓW</t>
  </si>
  <si>
    <t xml:space="preserve">Wpłaty gmin i powiatów na rzecz innych jednostek samorządu terytorialnego oraz związków gmin, związków powiatowo-gminnych, związków powiatów, związków metropolitarnych na dofinansowanie zadań bieżących </t>
  </si>
  <si>
    <t>Opłaty na rzecz budżetu państwa</t>
  </si>
  <si>
    <t>Podatek od towarów i usług (VAT)</t>
  </si>
  <si>
    <t>Obsługa długu publicznego</t>
  </si>
  <si>
    <t>Obsługa papierów wartościowych, kredytów i pożyczek jednostek samorządu terytorialnego</t>
  </si>
  <si>
    <t xml:space="preserve">Odsetki od samorządowych papierów wartościowych lub zaciągniętych przez jednostkę samorządu terytorialnego kredytów i pożyczek </t>
  </si>
  <si>
    <t>Różne rozliczenia</t>
  </si>
  <si>
    <t>Rezerwy ogólne i celowe</t>
  </si>
  <si>
    <t>Pomoc społeczna</t>
  </si>
  <si>
    <t>Dotacja celowa z budżetu na finnasowanie lub dofinansowanie zadań zleconych do realizacji pozostałych jednostkom niezaliczanych do sektora finansów publicznych (Fundusz Przeciwdziałania COVID-19)</t>
  </si>
  <si>
    <t xml:space="preserve">Zwroty niewykorzystanych dotacji oraz płatności </t>
  </si>
  <si>
    <r>
      <t xml:space="preserve"> Koordynuje:</t>
    </r>
    <r>
      <rPr>
        <b/>
        <sz val="12"/>
        <color indexed="8"/>
        <rFont val="Times New Roman"/>
        <family val="1"/>
        <charset val="238"/>
      </rPr>
      <t xml:space="preserve">             Powiatowy Zarząd Dróg</t>
    </r>
  </si>
  <si>
    <t>Drogi publiczne powiatowe</t>
  </si>
  <si>
    <t xml:space="preserve">Dotacje celowe przekazane gminie na zadania bieżące realizowane na podstawie porozumień (umów) między jednostkami samorządu terytorialnego
</t>
  </si>
  <si>
    <r>
      <t xml:space="preserve"> Koordynuje:</t>
    </r>
    <r>
      <rPr>
        <b/>
        <sz val="12"/>
        <color indexed="8"/>
        <rFont val="Times New Roman"/>
        <family val="1"/>
        <charset val="238"/>
      </rPr>
      <t xml:space="preserve">             Powiatowe Centrum Pomocy Rodzinie</t>
    </r>
  </si>
  <si>
    <t>Domy pomocy społecznej</t>
  </si>
  <si>
    <t>Dotacja celowa z budżetu na finansowanie lub dofinansowanie zadań zleconych do realizacji pozostałym jednostkom niezaliczanym do sektora finansów publicznych</t>
  </si>
  <si>
    <t>Jednostki specjalistycznego poradnictwa, mieszkania chronione i ośrodki interwencji kryzysowej</t>
  </si>
  <si>
    <t>Dotacja celowa na pomoc finansową udzialaną między jednostkami samorządu terytorialnego na dofinansowanie własnych zadań bieżących</t>
  </si>
  <si>
    <t>Rehabilitacja zawodowa i spoleczna osób niepełnosprawnych</t>
  </si>
  <si>
    <t>Dotacje celowe przekazane gminie na zadania bieżące realizowane na podstawie porozumień (umów) między jednostkami samorządu terytorialnego</t>
  </si>
  <si>
    <t>Dotacja celowa z budżetu na finansowanie lub dofinansowanie zadań zleconych do realizacji stowarzyszeniom</t>
  </si>
  <si>
    <t>Rodziny zastępcze</t>
  </si>
  <si>
    <t>Działalność placówek opiekuńczo-wychowawczych</t>
  </si>
  <si>
    <t>OGÓŁEM:</t>
  </si>
  <si>
    <r>
      <t xml:space="preserve">                                                                                                     </t>
    </r>
    <r>
      <rPr>
        <sz val="12"/>
        <rFont val="Arial"/>
        <family val="2"/>
        <charset val="238"/>
      </rPr>
      <t xml:space="preserve">   Załącznik Nr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Zarządzenia  nr 222/2021                                                                                                                                                                                                            Starosty Kieleckiego z dnia 1 grudnia 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</si>
</sst>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7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" fontId="8" fillId="2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7" fillId="0" borderId="4" xfId="0" applyFont="1" applyBorder="1" applyAlignment="1">
      <alignment horizontal="center"/>
    </xf>
    <xf numFmtId="4" fontId="7" fillId="0" borderId="6" xfId="0" applyNumberFormat="1" applyFont="1" applyBorder="1" applyAlignment="1">
      <alignment horizontal="right" vertical="center" wrapText="1"/>
    </xf>
    <xf numFmtId="0" fontId="9" fillId="3" borderId="4" xfId="0" applyFont="1" applyFill="1" applyBorder="1"/>
    <xf numFmtId="0" fontId="7" fillId="3" borderId="5" xfId="0" applyFont="1" applyFill="1" applyBorder="1" applyAlignment="1">
      <alignment horizontal="center" vertical="top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/>
    <xf numFmtId="4" fontId="11" fillId="0" borderId="6" xfId="0" applyNumberFormat="1" applyFont="1" applyFill="1" applyBorder="1" applyAlignment="1">
      <alignment horizontal="right" vertical="center" wrapText="1"/>
    </xf>
    <xf numFmtId="4" fontId="8" fillId="4" borderId="6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/>
    <xf numFmtId="0" fontId="7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wrapText="1"/>
    </xf>
    <xf numFmtId="4" fontId="4" fillId="3" borderId="6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5" xfId="0" applyFont="1" applyBorder="1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top" wrapText="1"/>
    </xf>
    <xf numFmtId="4" fontId="10" fillId="3" borderId="6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right" vertical="center"/>
    </xf>
    <xf numFmtId="4" fontId="9" fillId="3" borderId="6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" fontId="13" fillId="3" borderId="6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center" vertical="top" wrapText="1"/>
    </xf>
    <xf numFmtId="4" fontId="15" fillId="3" borderId="6" xfId="0" applyNumberFormat="1" applyFont="1" applyFill="1" applyBorder="1" applyAlignment="1">
      <alignment horizontal="right" vertical="center"/>
    </xf>
    <xf numFmtId="4" fontId="14" fillId="3" borderId="6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left" vertical="top" wrapText="1"/>
    </xf>
    <xf numFmtId="4" fontId="11" fillId="3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4" fontId="14" fillId="3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0" fillId="3" borderId="0" xfId="0" applyFill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17" fillId="0" borderId="0" xfId="0" applyFont="1"/>
    <xf numFmtId="0" fontId="7" fillId="3" borderId="5" xfId="0" applyFont="1" applyFill="1" applyBorder="1" applyAlignment="1">
      <alignment horizontal="left" vertical="top" wrapText="1"/>
    </xf>
    <xf numFmtId="4" fontId="7" fillId="3" borderId="16" xfId="0" applyNumberFormat="1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top" wrapText="1"/>
    </xf>
    <xf numFmtId="0" fontId="17" fillId="3" borderId="0" xfId="0" applyFont="1" applyFill="1"/>
    <xf numFmtId="4" fontId="18" fillId="4" borderId="6" xfId="0" applyNumberFormat="1" applyFont="1" applyFill="1" applyBorder="1" applyAlignment="1">
      <alignment horizontal="right" vertical="center"/>
    </xf>
    <xf numFmtId="0" fontId="9" fillId="3" borderId="10" xfId="0" applyFont="1" applyFill="1" applyBorder="1"/>
    <xf numFmtId="4" fontId="19" fillId="3" borderId="6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top" wrapText="1"/>
    </xf>
    <xf numFmtId="0" fontId="9" fillId="3" borderId="7" xfId="0" applyFont="1" applyFill="1" applyBorder="1"/>
    <xf numFmtId="0" fontId="9" fillId="0" borderId="5" xfId="0" applyFont="1" applyBorder="1" applyAlignment="1">
      <alignment horizontal="left" vertical="top" wrapText="1"/>
    </xf>
    <xf numFmtId="4" fontId="14" fillId="4" borderId="6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4" fontId="15" fillId="3" borderId="16" xfId="0" applyNumberFormat="1" applyFont="1" applyFill="1" applyBorder="1" applyAlignment="1">
      <alignment horizontal="right" vertical="center"/>
    </xf>
    <xf numFmtId="0" fontId="9" fillId="3" borderId="11" xfId="0" applyFont="1" applyFill="1" applyBorder="1"/>
    <xf numFmtId="0" fontId="9" fillId="3" borderId="13" xfId="0" applyFont="1" applyFill="1" applyBorder="1"/>
    <xf numFmtId="4" fontId="9" fillId="3" borderId="16" xfId="0" applyNumberFormat="1" applyFont="1" applyFill="1" applyBorder="1" applyAlignment="1">
      <alignment horizontal="right" vertical="center"/>
    </xf>
    <xf numFmtId="4" fontId="5" fillId="4" borderId="20" xfId="1" applyNumberFormat="1" applyFont="1" applyFill="1" applyBorder="1" applyAlignment="1">
      <alignment vertical="center"/>
    </xf>
    <xf numFmtId="2" fontId="0" fillId="0" borderId="0" xfId="0" applyNumberFormat="1" applyFill="1"/>
    <xf numFmtId="0" fontId="0" fillId="0" borderId="0" xfId="0" applyBorder="1"/>
    <xf numFmtId="4" fontId="0" fillId="0" borderId="0" xfId="0" applyNumberFormat="1" applyFill="1"/>
    <xf numFmtId="0" fontId="0" fillId="0" borderId="0" xfId="0" applyFill="1"/>
    <xf numFmtId="0" fontId="10" fillId="3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5" fillId="4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4"/>
  <sheetViews>
    <sheetView tabSelected="1" zoomScale="70" zoomScaleNormal="70" zoomScaleSheetLayoutView="70" workbookViewId="0">
      <selection activeCell="J19" sqref="J19"/>
    </sheetView>
  </sheetViews>
  <sheetFormatPr defaultRowHeight="14.25"/>
  <cols>
    <col min="1" max="1" width="6.5" bestFit="1" customWidth="1"/>
    <col min="2" max="2" width="8.5" customWidth="1"/>
    <col min="3" max="3" width="17" customWidth="1"/>
    <col min="4" max="4" width="85.625" customWidth="1"/>
    <col min="5" max="5" width="21.125" customWidth="1"/>
    <col min="7" max="7" width="13.625" customWidth="1"/>
    <col min="8" max="8" width="15.625" customWidth="1"/>
    <col min="9" max="9" width="17.375" customWidth="1"/>
    <col min="10" max="10" width="15.375" customWidth="1"/>
    <col min="11" max="11" width="20.125" customWidth="1"/>
    <col min="13" max="13" width="12" customWidth="1"/>
  </cols>
  <sheetData>
    <row r="1" spans="1:5" ht="48" customHeight="1">
      <c r="D1" s="165" t="s">
        <v>222</v>
      </c>
      <c r="E1" s="165"/>
    </row>
    <row r="2" spans="1:5" ht="42.75" customHeight="1">
      <c r="A2" s="166" t="s">
        <v>0</v>
      </c>
      <c r="B2" s="166"/>
      <c r="C2" s="166"/>
      <c r="D2" s="166"/>
      <c r="E2" s="166"/>
    </row>
    <row r="3" spans="1:5" ht="24" customHeight="1" thickBot="1">
      <c r="A3" s="167" t="s">
        <v>1</v>
      </c>
      <c r="B3" s="167"/>
      <c r="C3" s="167"/>
      <c r="D3" s="167"/>
      <c r="E3" s="167"/>
    </row>
    <row r="4" spans="1:5" ht="24" customHeight="1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>
      <c r="A5" s="4">
        <v>1</v>
      </c>
      <c r="B5" s="5">
        <v>2</v>
      </c>
      <c r="C5" s="5">
        <v>3</v>
      </c>
      <c r="D5" s="5">
        <v>4</v>
      </c>
      <c r="E5" s="6">
        <v>5</v>
      </c>
    </row>
    <row r="6" spans="1:5" ht="15.75">
      <c r="A6" s="168" t="s">
        <v>7</v>
      </c>
      <c r="B6" s="169"/>
      <c r="C6" s="169"/>
      <c r="D6" s="169"/>
      <c r="E6" s="7">
        <f>SUM(E10+E7)</f>
        <v>1731536</v>
      </c>
    </row>
    <row r="7" spans="1:5" ht="22.5" customHeight="1">
      <c r="A7" s="9">
        <v>720</v>
      </c>
      <c r="B7" s="170" t="s">
        <v>8</v>
      </c>
      <c r="C7" s="171"/>
      <c r="D7" s="172"/>
      <c r="E7" s="10">
        <f>E8</f>
        <v>10000</v>
      </c>
    </row>
    <row r="8" spans="1:5" ht="22.5" customHeight="1">
      <c r="A8" s="11"/>
      <c r="B8" s="12">
        <v>72095</v>
      </c>
      <c r="C8" s="140" t="s">
        <v>9</v>
      </c>
      <c r="D8" s="141"/>
      <c r="E8" s="13">
        <f>E9</f>
        <v>10000</v>
      </c>
    </row>
    <row r="9" spans="1:5" ht="22.5" customHeight="1">
      <c r="A9" s="11"/>
      <c r="B9" s="12"/>
      <c r="C9" s="14">
        <v>4300</v>
      </c>
      <c r="D9" s="15" t="s">
        <v>10</v>
      </c>
      <c r="E9" s="16">
        <v>10000</v>
      </c>
    </row>
    <row r="10" spans="1:5" ht="22.5" customHeight="1">
      <c r="A10" s="17">
        <v>750</v>
      </c>
      <c r="B10" s="129" t="s">
        <v>11</v>
      </c>
      <c r="C10" s="130"/>
      <c r="D10" s="131"/>
      <c r="E10" s="18">
        <f>E11</f>
        <v>1721536</v>
      </c>
    </row>
    <row r="11" spans="1:5" ht="22.5" customHeight="1">
      <c r="A11" s="11"/>
      <c r="B11" s="12">
        <v>75020</v>
      </c>
      <c r="C11" s="140" t="s">
        <v>12</v>
      </c>
      <c r="D11" s="141"/>
      <c r="E11" s="19">
        <f>SUM(E12:E19)</f>
        <v>1721536</v>
      </c>
    </row>
    <row r="12" spans="1:5" ht="22.5" customHeight="1">
      <c r="A12" s="11"/>
      <c r="B12" s="20"/>
      <c r="C12" s="14">
        <v>4210</v>
      </c>
      <c r="D12" s="15" t="s">
        <v>13</v>
      </c>
      <c r="E12" s="21">
        <f>250000+30000</f>
        <v>280000</v>
      </c>
    </row>
    <row r="13" spans="1:5" ht="22.5" customHeight="1">
      <c r="A13" s="11"/>
      <c r="B13" s="20"/>
      <c r="C13" s="14">
        <v>4270</v>
      </c>
      <c r="D13" s="15" t="s">
        <v>14</v>
      </c>
      <c r="E13" s="21">
        <v>10000</v>
      </c>
    </row>
    <row r="14" spans="1:5" ht="22.5" customHeight="1">
      <c r="A14" s="11"/>
      <c r="B14" s="20"/>
      <c r="C14" s="14">
        <v>4300</v>
      </c>
      <c r="D14" s="15" t="s">
        <v>10</v>
      </c>
      <c r="E14" s="21">
        <f>780000-20000</f>
        <v>760000</v>
      </c>
    </row>
    <row r="15" spans="1:5" ht="22.5" customHeight="1">
      <c r="A15" s="11"/>
      <c r="B15" s="20"/>
      <c r="C15" s="14">
        <v>4360</v>
      </c>
      <c r="D15" s="15" t="s">
        <v>15</v>
      </c>
      <c r="E15" s="21">
        <v>34000</v>
      </c>
    </row>
    <row r="16" spans="1:5" ht="22.5" customHeight="1">
      <c r="A16" s="11"/>
      <c r="B16" s="20"/>
      <c r="C16" s="14">
        <v>4390</v>
      </c>
      <c r="D16" s="15" t="s">
        <v>16</v>
      </c>
      <c r="E16" s="21">
        <v>23300</v>
      </c>
    </row>
    <row r="17" spans="1:5" ht="22.5" customHeight="1">
      <c r="A17" s="11"/>
      <c r="B17" s="20"/>
      <c r="C17" s="14">
        <v>4430</v>
      </c>
      <c r="D17" s="15" t="s">
        <v>17</v>
      </c>
      <c r="E17" s="21">
        <v>4236</v>
      </c>
    </row>
    <row r="18" spans="1:5" ht="22.5" customHeight="1">
      <c r="A18" s="11"/>
      <c r="B18" s="20"/>
      <c r="C18" s="14">
        <v>4700</v>
      </c>
      <c r="D18" s="15" t="s">
        <v>18</v>
      </c>
      <c r="E18" s="21">
        <v>10000</v>
      </c>
    </row>
    <row r="19" spans="1:5" ht="22.5" customHeight="1">
      <c r="A19" s="11"/>
      <c r="B19" s="20"/>
      <c r="C19" s="14">
        <v>6060</v>
      </c>
      <c r="D19" s="15" t="s">
        <v>19</v>
      </c>
      <c r="E19" s="21">
        <f>200000+400000</f>
        <v>600000</v>
      </c>
    </row>
    <row r="20" spans="1:5" ht="22.5" customHeight="1">
      <c r="A20" s="145" t="s">
        <v>20</v>
      </c>
      <c r="B20" s="146"/>
      <c r="C20" s="146"/>
      <c r="D20" s="146"/>
      <c r="E20" s="22">
        <f>E21+E31</f>
        <v>15104286</v>
      </c>
    </row>
    <row r="21" spans="1:5" ht="22.5" customHeight="1">
      <c r="A21" s="23">
        <v>851</v>
      </c>
      <c r="B21" s="135" t="s">
        <v>21</v>
      </c>
      <c r="C21" s="136"/>
      <c r="D21" s="137"/>
      <c r="E21" s="24">
        <f>SUM(E22,E26,E29)</f>
        <v>13799677</v>
      </c>
    </row>
    <row r="22" spans="1:5" ht="22.5" customHeight="1">
      <c r="A22" s="25"/>
      <c r="B22" s="26">
        <v>85111</v>
      </c>
      <c r="C22" s="27" t="s">
        <v>22</v>
      </c>
      <c r="D22" s="28"/>
      <c r="E22" s="13">
        <f>SUM(E23:E25)</f>
        <v>13066170</v>
      </c>
    </row>
    <row r="23" spans="1:5" ht="36.75" customHeight="1">
      <c r="A23" s="25"/>
      <c r="B23" s="26"/>
      <c r="C23" s="29">
        <v>6229</v>
      </c>
      <c r="D23" s="30" t="s">
        <v>23</v>
      </c>
      <c r="E23" s="31">
        <f>89997+2446716+74118+270191-10000</f>
        <v>2871022</v>
      </c>
    </row>
    <row r="24" spans="1:5" ht="51" customHeight="1">
      <c r="A24" s="25"/>
      <c r="B24" s="26"/>
      <c r="C24" s="32">
        <v>6220</v>
      </c>
      <c r="D24" s="33" t="s">
        <v>24</v>
      </c>
      <c r="E24" s="31">
        <f>5960148+3985000</f>
        <v>9945148</v>
      </c>
    </row>
    <row r="25" spans="1:5" ht="39" customHeight="1">
      <c r="A25" s="25"/>
      <c r="B25" s="26"/>
      <c r="C25" s="32">
        <v>6220</v>
      </c>
      <c r="D25" s="34" t="s">
        <v>23</v>
      </c>
      <c r="E25" s="31">
        <v>250000</v>
      </c>
    </row>
    <row r="26" spans="1:5" ht="22.5" customHeight="1">
      <c r="A26" s="11"/>
      <c r="B26" s="12">
        <v>85121</v>
      </c>
      <c r="C26" s="163" t="s">
        <v>25</v>
      </c>
      <c r="D26" s="164"/>
      <c r="E26" s="13">
        <f>SUM(E27:E28)</f>
        <v>492306</v>
      </c>
    </row>
    <row r="27" spans="1:5" ht="36.75" customHeight="1">
      <c r="A27" s="11"/>
      <c r="B27" s="14"/>
      <c r="C27" s="29">
        <v>6229</v>
      </c>
      <c r="D27" s="30" t="s">
        <v>23</v>
      </c>
      <c r="E27" s="16">
        <f>5000+187306</f>
        <v>192306</v>
      </c>
    </row>
    <row r="28" spans="1:5" ht="51" customHeight="1">
      <c r="A28" s="25"/>
      <c r="B28" s="26"/>
      <c r="C28" s="32">
        <v>6220</v>
      </c>
      <c r="D28" s="33" t="s">
        <v>23</v>
      </c>
      <c r="E28" s="31">
        <v>300000</v>
      </c>
    </row>
    <row r="29" spans="1:5" ht="22.5" customHeight="1">
      <c r="A29" s="11"/>
      <c r="B29" s="12">
        <v>85195</v>
      </c>
      <c r="C29" s="140" t="s">
        <v>9</v>
      </c>
      <c r="D29" s="141"/>
      <c r="E29" s="13">
        <f>SUM(E30:E30)</f>
        <v>241201</v>
      </c>
    </row>
    <row r="30" spans="1:5" ht="22.5" customHeight="1">
      <c r="A30" s="11"/>
      <c r="B30" s="14"/>
      <c r="C30" s="14">
        <v>4400</v>
      </c>
      <c r="D30" s="15" t="s">
        <v>26</v>
      </c>
      <c r="E30" s="31">
        <f>191201+50000</f>
        <v>241201</v>
      </c>
    </row>
    <row r="31" spans="1:5" ht="22.5" customHeight="1">
      <c r="A31" s="35">
        <v>853</v>
      </c>
      <c r="B31" s="129" t="s">
        <v>27</v>
      </c>
      <c r="C31" s="130"/>
      <c r="D31" s="131"/>
      <c r="E31" s="24">
        <f>E32+E51</f>
        <v>1304609</v>
      </c>
    </row>
    <row r="32" spans="1:5" ht="22.5" customHeight="1">
      <c r="A32" s="11"/>
      <c r="B32" s="12">
        <v>85321</v>
      </c>
      <c r="C32" s="132" t="s">
        <v>28</v>
      </c>
      <c r="D32" s="132"/>
      <c r="E32" s="13">
        <f>SUM(E33:E50)</f>
        <v>1287449</v>
      </c>
    </row>
    <row r="33" spans="1:5" ht="22.5" customHeight="1">
      <c r="A33" s="11"/>
      <c r="B33" s="14"/>
      <c r="C33" s="14">
        <v>4010</v>
      </c>
      <c r="D33" s="15" t="s">
        <v>29</v>
      </c>
      <c r="E33" s="31">
        <v>37479</v>
      </c>
    </row>
    <row r="34" spans="1:5" ht="22.5" customHeight="1">
      <c r="A34" s="11"/>
      <c r="B34" s="14"/>
      <c r="C34" s="14">
        <v>4010</v>
      </c>
      <c r="D34" s="15" t="s">
        <v>30</v>
      </c>
      <c r="E34" s="31">
        <f>430000+40000</f>
        <v>470000</v>
      </c>
    </row>
    <row r="35" spans="1:5" ht="22.5" customHeight="1">
      <c r="A35" s="11"/>
      <c r="B35" s="14"/>
      <c r="C35" s="14">
        <v>4040</v>
      </c>
      <c r="D35" s="15" t="s">
        <v>31</v>
      </c>
      <c r="E35" s="31">
        <f>6108-6108</f>
        <v>0</v>
      </c>
    </row>
    <row r="36" spans="1:5" ht="22.5" customHeight="1">
      <c r="A36" s="11"/>
      <c r="B36" s="14"/>
      <c r="C36" s="14">
        <v>4040</v>
      </c>
      <c r="D36" s="15" t="s">
        <v>32</v>
      </c>
      <c r="E36" s="31">
        <f>37000-6666</f>
        <v>30334</v>
      </c>
    </row>
    <row r="37" spans="1:5" ht="22.5" customHeight="1">
      <c r="A37" s="11"/>
      <c r="B37" s="14"/>
      <c r="C37" s="14">
        <v>4110</v>
      </c>
      <c r="D37" s="15" t="s">
        <v>33</v>
      </c>
      <c r="E37" s="31">
        <v>30551</v>
      </c>
    </row>
    <row r="38" spans="1:5" ht="22.5" customHeight="1">
      <c r="A38" s="11"/>
      <c r="B38" s="14"/>
      <c r="C38" s="14">
        <v>4110</v>
      </c>
      <c r="D38" s="15" t="s">
        <v>34</v>
      </c>
      <c r="E38" s="31">
        <f>57000+40000</f>
        <v>97000</v>
      </c>
    </row>
    <row r="39" spans="1:5" ht="22.5" customHeight="1">
      <c r="A39" s="11"/>
      <c r="B39" s="14"/>
      <c r="C39" s="14">
        <v>4120</v>
      </c>
      <c r="D39" s="36" t="s">
        <v>35</v>
      </c>
      <c r="E39" s="31">
        <v>3678</v>
      </c>
    </row>
    <row r="40" spans="1:5" ht="21" customHeight="1">
      <c r="A40" s="11"/>
      <c r="B40" s="14"/>
      <c r="C40" s="14">
        <v>4120</v>
      </c>
      <c r="D40" s="15" t="s">
        <v>36</v>
      </c>
      <c r="E40" s="31">
        <f>8800+2000</f>
        <v>10800</v>
      </c>
    </row>
    <row r="41" spans="1:5" ht="22.5" customHeight="1">
      <c r="A41" s="11"/>
      <c r="B41" s="14"/>
      <c r="C41" s="14">
        <v>4170</v>
      </c>
      <c r="D41" s="15" t="s">
        <v>37</v>
      </c>
      <c r="E41" s="31">
        <f>53718-25000</f>
        <v>28718</v>
      </c>
    </row>
    <row r="42" spans="1:5" ht="22.5" customHeight="1">
      <c r="A42" s="11"/>
      <c r="B42" s="14"/>
      <c r="C42" s="14">
        <v>4170</v>
      </c>
      <c r="D42" s="15" t="s">
        <v>38</v>
      </c>
      <c r="E42" s="31">
        <f>140082-15000</f>
        <v>125082</v>
      </c>
    </row>
    <row r="43" spans="1:5" ht="22.5" customHeight="1">
      <c r="A43" s="11"/>
      <c r="B43" s="14"/>
      <c r="C43" s="14">
        <v>4710</v>
      </c>
      <c r="D43" s="36" t="s">
        <v>39</v>
      </c>
      <c r="E43" s="31">
        <v>3000</v>
      </c>
    </row>
    <row r="44" spans="1:5" ht="22.5" customHeight="1">
      <c r="A44" s="11"/>
      <c r="B44" s="14"/>
      <c r="C44" s="14">
        <v>4710</v>
      </c>
      <c r="D44" s="37" t="s">
        <v>40</v>
      </c>
      <c r="E44" s="31">
        <v>3330</v>
      </c>
    </row>
    <row r="45" spans="1:5" ht="22.5" customHeight="1">
      <c r="A45" s="11"/>
      <c r="B45" s="14"/>
      <c r="C45" s="14">
        <v>4210</v>
      </c>
      <c r="D45" s="15" t="s">
        <v>41</v>
      </c>
      <c r="E45" s="31">
        <v>10720</v>
      </c>
    </row>
    <row r="46" spans="1:5" ht="22.5" customHeight="1">
      <c r="A46" s="11"/>
      <c r="B46" s="14"/>
      <c r="C46" s="14">
        <v>4210</v>
      </c>
      <c r="D46" s="15" t="s">
        <v>42</v>
      </c>
      <c r="E46" s="31">
        <f>10780+19687</f>
        <v>30467</v>
      </c>
    </row>
    <row r="47" spans="1:5" ht="22.5" customHeight="1">
      <c r="A47" s="11"/>
      <c r="B47" s="14"/>
      <c r="C47" s="14">
        <v>4300</v>
      </c>
      <c r="D47" s="15" t="s">
        <v>10</v>
      </c>
      <c r="E47" s="31">
        <f>54662+31108</f>
        <v>85770</v>
      </c>
    </row>
    <row r="48" spans="1:5" ht="22.5" customHeight="1">
      <c r="A48" s="11"/>
      <c r="B48" s="14"/>
      <c r="C48" s="14">
        <v>4300</v>
      </c>
      <c r="D48" s="15" t="s">
        <v>43</v>
      </c>
      <c r="E48" s="31">
        <f>160338+18075+21666+100000</f>
        <v>300079</v>
      </c>
    </row>
    <row r="49" spans="1:5" ht="22.5" customHeight="1">
      <c r="A49" s="11"/>
      <c r="B49" s="14"/>
      <c r="C49" s="14">
        <v>4440</v>
      </c>
      <c r="D49" s="15" t="s">
        <v>44</v>
      </c>
      <c r="E49" s="31">
        <v>4441</v>
      </c>
    </row>
    <row r="50" spans="1:5" ht="22.5" customHeight="1">
      <c r="A50" s="11"/>
      <c r="B50" s="14"/>
      <c r="C50" s="14">
        <v>4440</v>
      </c>
      <c r="D50" s="15" t="s">
        <v>45</v>
      </c>
      <c r="E50" s="31">
        <f>13000+3000</f>
        <v>16000</v>
      </c>
    </row>
    <row r="51" spans="1:5" ht="22.5" customHeight="1">
      <c r="A51" s="11"/>
      <c r="B51" s="12">
        <v>85395</v>
      </c>
      <c r="C51" s="132" t="s">
        <v>9</v>
      </c>
      <c r="D51" s="132"/>
      <c r="E51" s="13">
        <f>SUM(E52)</f>
        <v>17160</v>
      </c>
    </row>
    <row r="52" spans="1:5" ht="22.5" customHeight="1">
      <c r="A52" s="11"/>
      <c r="B52" s="14"/>
      <c r="C52" s="14">
        <v>3110</v>
      </c>
      <c r="D52" s="15" t="s">
        <v>46</v>
      </c>
      <c r="E52" s="31">
        <v>17160</v>
      </c>
    </row>
    <row r="53" spans="1:5" ht="22.5" customHeight="1">
      <c r="A53" s="145" t="s">
        <v>47</v>
      </c>
      <c r="B53" s="146"/>
      <c r="C53" s="146"/>
      <c r="D53" s="146"/>
      <c r="E53" s="22">
        <f>E54</f>
        <v>35063</v>
      </c>
    </row>
    <row r="54" spans="1:5" ht="22.5" customHeight="1">
      <c r="A54" s="17">
        <v>750</v>
      </c>
      <c r="B54" s="129" t="s">
        <v>11</v>
      </c>
      <c r="C54" s="130"/>
      <c r="D54" s="131"/>
      <c r="E54" s="24">
        <f>E55</f>
        <v>35063</v>
      </c>
    </row>
    <row r="55" spans="1:5" ht="22.5" customHeight="1">
      <c r="A55" s="11"/>
      <c r="B55" s="12">
        <v>75020</v>
      </c>
      <c r="C55" s="132" t="s">
        <v>12</v>
      </c>
      <c r="D55" s="132"/>
      <c r="E55" s="13">
        <f>SUM(E56:E60)</f>
        <v>35063</v>
      </c>
    </row>
    <row r="56" spans="1:5" ht="22.5" customHeight="1">
      <c r="A56" s="11"/>
      <c r="B56" s="12"/>
      <c r="C56" s="14">
        <v>4010</v>
      </c>
      <c r="D56" s="15" t="s">
        <v>29</v>
      </c>
      <c r="E56" s="31">
        <f>32+7877+2232+81+2031+2672+752+3613+672</f>
        <v>19962</v>
      </c>
    </row>
    <row r="57" spans="1:5" ht="22.5" customHeight="1">
      <c r="A57" s="11"/>
      <c r="B57" s="12"/>
      <c r="C57" s="14">
        <v>4110</v>
      </c>
      <c r="D57" s="15" t="s">
        <v>33</v>
      </c>
      <c r="E57" s="31">
        <f>6+1354+384+14+349+459+129+621+116</f>
        <v>3432</v>
      </c>
    </row>
    <row r="58" spans="1:5" ht="22.5" customHeight="1">
      <c r="A58" s="11"/>
      <c r="B58" s="12"/>
      <c r="C58" s="14">
        <v>4120</v>
      </c>
      <c r="D58" s="36" t="s">
        <v>35</v>
      </c>
      <c r="E58" s="31">
        <f>1+193+55+2+50+66+18+89+16</f>
        <v>490</v>
      </c>
    </row>
    <row r="59" spans="1:5" ht="22.5" customHeight="1">
      <c r="A59" s="11"/>
      <c r="B59" s="14"/>
      <c r="C59" s="38">
        <v>4610</v>
      </c>
      <c r="D59" s="15" t="s">
        <v>48</v>
      </c>
      <c r="E59" s="31">
        <f>7000+2000+2000</f>
        <v>11000</v>
      </c>
    </row>
    <row r="60" spans="1:5" ht="22.5" customHeight="1">
      <c r="A60" s="11"/>
      <c r="B60" s="14"/>
      <c r="C60" s="38">
        <v>4710</v>
      </c>
      <c r="D60" s="15" t="s">
        <v>49</v>
      </c>
      <c r="E60" s="31">
        <f>33+1+30+40+11+54+10</f>
        <v>179</v>
      </c>
    </row>
    <row r="61" spans="1:5" ht="22.5" customHeight="1">
      <c r="A61" s="145" t="s">
        <v>50</v>
      </c>
      <c r="B61" s="146"/>
      <c r="C61" s="146"/>
      <c r="D61" s="146"/>
      <c r="E61" s="39">
        <f>E62</f>
        <v>145150</v>
      </c>
    </row>
    <row r="62" spans="1:5" ht="22.5" customHeight="1">
      <c r="A62" s="17">
        <v>750</v>
      </c>
      <c r="B62" s="129" t="s">
        <v>11</v>
      </c>
      <c r="C62" s="130"/>
      <c r="D62" s="131"/>
      <c r="E62" s="24">
        <f>E63</f>
        <v>145150</v>
      </c>
    </row>
    <row r="63" spans="1:5" ht="22.5" customHeight="1">
      <c r="A63" s="11"/>
      <c r="B63" s="12">
        <v>75020</v>
      </c>
      <c r="C63" s="132" t="s">
        <v>12</v>
      </c>
      <c r="D63" s="132"/>
      <c r="E63" s="13">
        <f>E64+E65+E66</f>
        <v>145150</v>
      </c>
    </row>
    <row r="64" spans="1:5" ht="22.5" customHeight="1">
      <c r="A64" s="11"/>
      <c r="B64" s="12"/>
      <c r="C64" s="14">
        <v>4170</v>
      </c>
      <c r="D64" s="15" t="s">
        <v>37</v>
      </c>
      <c r="E64" s="31">
        <v>110000</v>
      </c>
    </row>
    <row r="65" spans="1:5" ht="22.5" customHeight="1">
      <c r="A65" s="11"/>
      <c r="B65" s="20"/>
      <c r="C65" s="14">
        <v>4300</v>
      </c>
      <c r="D65" s="15" t="s">
        <v>10</v>
      </c>
      <c r="E65" s="31">
        <f>23000+12000</f>
        <v>35000</v>
      </c>
    </row>
    <row r="66" spans="1:5" ht="22.5" customHeight="1">
      <c r="A66" s="11"/>
      <c r="B66" s="20"/>
      <c r="C66" s="14">
        <v>4430</v>
      </c>
      <c r="D66" s="15" t="s">
        <v>51</v>
      </c>
      <c r="E66" s="31">
        <v>150</v>
      </c>
    </row>
    <row r="67" spans="1:5" ht="22.5" customHeight="1">
      <c r="A67" s="145" t="s">
        <v>52</v>
      </c>
      <c r="B67" s="146"/>
      <c r="C67" s="146"/>
      <c r="D67" s="146"/>
      <c r="E67" s="39">
        <f>E68+E79+E90+E134+E143</f>
        <v>25182224</v>
      </c>
    </row>
    <row r="68" spans="1:5" ht="22.5" customHeight="1">
      <c r="A68" s="35">
        <v>700</v>
      </c>
      <c r="B68" s="129" t="s">
        <v>53</v>
      </c>
      <c r="C68" s="130"/>
      <c r="D68" s="131"/>
      <c r="E68" s="40">
        <f>E69</f>
        <v>726196</v>
      </c>
    </row>
    <row r="69" spans="1:5" ht="22.5" customHeight="1">
      <c r="A69" s="41"/>
      <c r="B69" s="12">
        <v>70005</v>
      </c>
      <c r="C69" s="140" t="s">
        <v>54</v>
      </c>
      <c r="D69" s="141"/>
      <c r="E69" s="42">
        <f>SUM(E70:E78)</f>
        <v>726196</v>
      </c>
    </row>
    <row r="70" spans="1:5" ht="22.5" customHeight="1">
      <c r="A70" s="41"/>
      <c r="B70" s="14"/>
      <c r="C70" s="14">
        <v>4010</v>
      </c>
      <c r="D70" s="15" t="s">
        <v>30</v>
      </c>
      <c r="E70" s="43">
        <v>153237</v>
      </c>
    </row>
    <row r="71" spans="1:5" ht="22.5" customHeight="1">
      <c r="A71" s="41"/>
      <c r="B71" s="14"/>
      <c r="C71" s="14">
        <v>4010</v>
      </c>
      <c r="D71" s="15" t="s">
        <v>55</v>
      </c>
      <c r="E71" s="43">
        <v>404335</v>
      </c>
    </row>
    <row r="72" spans="1:5" ht="22.5" customHeight="1">
      <c r="A72" s="41"/>
      <c r="B72" s="14"/>
      <c r="C72" s="14">
        <v>4040</v>
      </c>
      <c r="D72" s="15" t="s">
        <v>32</v>
      </c>
      <c r="E72" s="43">
        <v>13931</v>
      </c>
    </row>
    <row r="73" spans="1:5" ht="22.5" customHeight="1">
      <c r="A73" s="41"/>
      <c r="B73" s="14"/>
      <c r="C73" s="14">
        <v>4040</v>
      </c>
      <c r="D73" s="15" t="s">
        <v>56</v>
      </c>
      <c r="E73" s="43">
        <v>32849</v>
      </c>
    </row>
    <row r="74" spans="1:5" ht="22.5" customHeight="1">
      <c r="A74" s="41"/>
      <c r="B74" s="14"/>
      <c r="C74" s="14">
        <v>4110</v>
      </c>
      <c r="D74" s="15" t="s">
        <v>57</v>
      </c>
      <c r="E74" s="43">
        <v>28736</v>
      </c>
    </row>
    <row r="75" spans="1:5" ht="22.5" customHeight="1">
      <c r="A75" s="41"/>
      <c r="B75" s="14"/>
      <c r="C75" s="14">
        <v>4110</v>
      </c>
      <c r="D75" s="15" t="s">
        <v>58</v>
      </c>
      <c r="E75" s="43">
        <v>70588</v>
      </c>
    </row>
    <row r="76" spans="1:5" ht="18.75" customHeight="1">
      <c r="A76" s="41"/>
      <c r="B76" s="14"/>
      <c r="C76" s="14">
        <v>4120</v>
      </c>
      <c r="D76" s="15" t="s">
        <v>59</v>
      </c>
      <c r="E76" s="44">
        <v>4096</v>
      </c>
    </row>
    <row r="77" spans="1:5" ht="22.5" customHeight="1">
      <c r="A77" s="41"/>
      <c r="B77" s="14"/>
      <c r="C77" s="14">
        <v>4120</v>
      </c>
      <c r="D77" s="36" t="s">
        <v>35</v>
      </c>
      <c r="E77" s="43">
        <v>10060</v>
      </c>
    </row>
    <row r="78" spans="1:5" ht="22.5" customHeight="1">
      <c r="A78" s="41"/>
      <c r="B78" s="45"/>
      <c r="C78" s="14">
        <v>4710</v>
      </c>
      <c r="D78" s="46" t="s">
        <v>40</v>
      </c>
      <c r="E78" s="43">
        <v>8364</v>
      </c>
    </row>
    <row r="79" spans="1:5" ht="22.5" customHeight="1">
      <c r="A79" s="35">
        <v>710</v>
      </c>
      <c r="B79" s="123" t="s">
        <v>60</v>
      </c>
      <c r="C79" s="124"/>
      <c r="D79" s="125"/>
      <c r="E79" s="47">
        <f>E80</f>
        <v>3007334</v>
      </c>
    </row>
    <row r="80" spans="1:5" ht="22.5" customHeight="1">
      <c r="A80" s="48"/>
      <c r="B80" s="12">
        <v>71012</v>
      </c>
      <c r="C80" s="140" t="s">
        <v>61</v>
      </c>
      <c r="D80" s="141"/>
      <c r="E80" s="49">
        <f>SUM(E81:E89)</f>
        <v>3007334</v>
      </c>
    </row>
    <row r="81" spans="1:5" ht="22.5" customHeight="1">
      <c r="A81" s="41"/>
      <c r="B81" s="45"/>
      <c r="C81" s="14">
        <v>4010</v>
      </c>
      <c r="D81" s="15" t="s">
        <v>30</v>
      </c>
      <c r="E81" s="43">
        <v>237518</v>
      </c>
    </row>
    <row r="82" spans="1:5" ht="22.5" customHeight="1">
      <c r="A82" s="41"/>
      <c r="B82" s="45"/>
      <c r="C82" s="14">
        <v>4010</v>
      </c>
      <c r="D82" s="15" t="s">
        <v>55</v>
      </c>
      <c r="E82" s="43">
        <f>2090393+48421</f>
        <v>2138814</v>
      </c>
    </row>
    <row r="83" spans="1:5" ht="22.5" customHeight="1">
      <c r="A83" s="41"/>
      <c r="B83" s="45"/>
      <c r="C83" s="14">
        <v>4040</v>
      </c>
      <c r="D83" s="15" t="s">
        <v>32</v>
      </c>
      <c r="E83" s="43">
        <v>21593</v>
      </c>
    </row>
    <row r="84" spans="1:5" ht="22.5" customHeight="1">
      <c r="A84" s="41"/>
      <c r="B84" s="45"/>
      <c r="C84" s="14">
        <v>4040</v>
      </c>
      <c r="D84" s="15" t="s">
        <v>56</v>
      </c>
      <c r="E84" s="43">
        <f>162694-25921</f>
        <v>136773</v>
      </c>
    </row>
    <row r="85" spans="1:5" ht="22.5" customHeight="1">
      <c r="A85" s="41"/>
      <c r="B85" s="45"/>
      <c r="C85" s="14">
        <v>4110</v>
      </c>
      <c r="D85" s="15" t="s">
        <v>34</v>
      </c>
      <c r="E85" s="43">
        <v>44541</v>
      </c>
    </row>
    <row r="86" spans="1:5" ht="22.5" customHeight="1">
      <c r="A86" s="41"/>
      <c r="B86" s="45"/>
      <c r="C86" s="14">
        <v>4110</v>
      </c>
      <c r="D86" s="15" t="s">
        <v>58</v>
      </c>
      <c r="E86" s="43">
        <f>358266+15000</f>
        <v>373266</v>
      </c>
    </row>
    <row r="87" spans="1:5" ht="24" customHeight="1">
      <c r="A87" s="41"/>
      <c r="B87" s="45"/>
      <c r="C87" s="14">
        <v>4120</v>
      </c>
      <c r="D87" s="15" t="s">
        <v>59</v>
      </c>
      <c r="E87" s="43">
        <v>6348</v>
      </c>
    </row>
    <row r="88" spans="1:5" ht="22.5" customHeight="1">
      <c r="A88" s="41"/>
      <c r="B88" s="45"/>
      <c r="C88" s="14">
        <v>4120</v>
      </c>
      <c r="D88" s="36" t="s">
        <v>35</v>
      </c>
      <c r="E88" s="43">
        <f>51062-5000</f>
        <v>46062</v>
      </c>
    </row>
    <row r="89" spans="1:5" ht="22.5" customHeight="1">
      <c r="A89" s="41"/>
      <c r="B89" s="45"/>
      <c r="C89" s="14">
        <v>4710</v>
      </c>
      <c r="D89" s="46" t="s">
        <v>40</v>
      </c>
      <c r="E89" s="43">
        <f>34919-32500</f>
        <v>2419</v>
      </c>
    </row>
    <row r="90" spans="1:5" ht="22.5" customHeight="1">
      <c r="A90" s="35">
        <v>750</v>
      </c>
      <c r="B90" s="129" t="s">
        <v>11</v>
      </c>
      <c r="C90" s="130"/>
      <c r="D90" s="131"/>
      <c r="E90" s="50">
        <f>E91+E96+E120+E132</f>
        <v>20168530</v>
      </c>
    </row>
    <row r="91" spans="1:5" ht="22.5" customHeight="1">
      <c r="A91" s="41"/>
      <c r="B91" s="12">
        <v>75019</v>
      </c>
      <c r="C91" s="140" t="s">
        <v>62</v>
      </c>
      <c r="D91" s="141"/>
      <c r="E91" s="13">
        <f>SUM(E92:E95)</f>
        <v>531000</v>
      </c>
    </row>
    <row r="92" spans="1:5" ht="22.5" customHeight="1">
      <c r="A92" s="41"/>
      <c r="B92" s="14"/>
      <c r="C92" s="14">
        <v>3030</v>
      </c>
      <c r="D92" s="15" t="s">
        <v>63</v>
      </c>
      <c r="E92" s="31">
        <v>497000</v>
      </c>
    </row>
    <row r="93" spans="1:5" ht="22.5" customHeight="1">
      <c r="A93" s="41"/>
      <c r="B93" s="14"/>
      <c r="C93" s="14">
        <v>4210</v>
      </c>
      <c r="D93" s="15" t="s">
        <v>13</v>
      </c>
      <c r="E93" s="31">
        <v>23000</v>
      </c>
    </row>
    <row r="94" spans="1:5" ht="22.5" customHeight="1">
      <c r="A94" s="41"/>
      <c r="B94" s="14"/>
      <c r="C94" s="14">
        <v>4300</v>
      </c>
      <c r="D94" s="15" t="s">
        <v>10</v>
      </c>
      <c r="E94" s="31">
        <v>7000</v>
      </c>
    </row>
    <row r="95" spans="1:5" ht="22.5" customHeight="1">
      <c r="A95" s="41"/>
      <c r="B95" s="14"/>
      <c r="C95" s="14">
        <v>4360</v>
      </c>
      <c r="D95" s="15" t="s">
        <v>15</v>
      </c>
      <c r="E95" s="31">
        <v>4000</v>
      </c>
    </row>
    <row r="96" spans="1:5" ht="22.5" customHeight="1">
      <c r="A96" s="11"/>
      <c r="B96" s="12">
        <v>75020</v>
      </c>
      <c r="C96" s="140" t="s">
        <v>12</v>
      </c>
      <c r="D96" s="141"/>
      <c r="E96" s="13">
        <f>SUM(E97:E119)</f>
        <v>19482930</v>
      </c>
    </row>
    <row r="97" spans="1:5" ht="22.5" customHeight="1">
      <c r="A97" s="11"/>
      <c r="B97" s="12"/>
      <c r="C97" s="14">
        <v>3020</v>
      </c>
      <c r="D97" s="51" t="s">
        <v>64</v>
      </c>
      <c r="E97" s="31">
        <f>43000+5185+9200</f>
        <v>57385</v>
      </c>
    </row>
    <row r="98" spans="1:5" ht="22.5" customHeight="1">
      <c r="A98" s="11"/>
      <c r="B98" s="14"/>
      <c r="C98" s="14">
        <v>4010</v>
      </c>
      <c r="D98" s="15" t="s">
        <v>29</v>
      </c>
      <c r="E98" s="31">
        <f>11616120+258856+200000</f>
        <v>12074976</v>
      </c>
    </row>
    <row r="99" spans="1:5" ht="22.5" customHeight="1">
      <c r="A99" s="11"/>
      <c r="B99" s="14"/>
      <c r="C99" s="14">
        <v>4040</v>
      </c>
      <c r="D99" s="15" t="s">
        <v>65</v>
      </c>
      <c r="E99" s="31">
        <f>950301-9200-108856</f>
        <v>832245</v>
      </c>
    </row>
    <row r="100" spans="1:5" ht="22.5" customHeight="1">
      <c r="A100" s="11"/>
      <c r="B100" s="14"/>
      <c r="C100" s="14">
        <v>4110</v>
      </c>
      <c r="D100" s="15" t="s">
        <v>33</v>
      </c>
      <c r="E100" s="31">
        <f>2098141+25000+31000</f>
        <v>2154141</v>
      </c>
    </row>
    <row r="101" spans="1:5" ht="22.5" customHeight="1">
      <c r="A101" s="11"/>
      <c r="B101" s="14"/>
      <c r="C101" s="14">
        <v>4120</v>
      </c>
      <c r="D101" s="37" t="s">
        <v>35</v>
      </c>
      <c r="E101" s="31">
        <f>298966-25000+5000</f>
        <v>278966</v>
      </c>
    </row>
    <row r="102" spans="1:5" ht="22.5" customHeight="1">
      <c r="A102" s="11"/>
      <c r="B102" s="14"/>
      <c r="C102" s="14">
        <v>4170</v>
      </c>
      <c r="D102" s="15" t="s">
        <v>66</v>
      </c>
      <c r="E102" s="31">
        <v>3000</v>
      </c>
    </row>
    <row r="103" spans="1:5" ht="22.5" customHeight="1">
      <c r="A103" s="11"/>
      <c r="B103" s="14"/>
      <c r="C103" s="14">
        <v>4210</v>
      </c>
      <c r="D103" s="15" t="s">
        <v>13</v>
      </c>
      <c r="E103" s="52">
        <f>488760-400-50000</f>
        <v>438360</v>
      </c>
    </row>
    <row r="104" spans="1:5" ht="22.5" customHeight="1">
      <c r="A104" s="11"/>
      <c r="B104" s="14"/>
      <c r="C104" s="14">
        <v>4220</v>
      </c>
      <c r="D104" s="15" t="s">
        <v>67</v>
      </c>
      <c r="E104" s="52">
        <v>29200</v>
      </c>
    </row>
    <row r="105" spans="1:5" ht="22.5" customHeight="1">
      <c r="A105" s="11"/>
      <c r="B105" s="14"/>
      <c r="C105" s="14">
        <v>4260</v>
      </c>
      <c r="D105" s="15" t="s">
        <v>68</v>
      </c>
      <c r="E105" s="52">
        <f>615000+25000+50000</f>
        <v>690000</v>
      </c>
    </row>
    <row r="106" spans="1:5" ht="22.5" customHeight="1">
      <c r="A106" s="11"/>
      <c r="B106" s="14"/>
      <c r="C106" s="14">
        <v>4270</v>
      </c>
      <c r="D106" s="15" t="s">
        <v>69</v>
      </c>
      <c r="E106" s="52">
        <v>295500</v>
      </c>
    </row>
    <row r="107" spans="1:5" ht="22.5" customHeight="1">
      <c r="A107" s="11"/>
      <c r="B107" s="14"/>
      <c r="C107" s="14">
        <v>4280</v>
      </c>
      <c r="D107" s="15" t="s">
        <v>70</v>
      </c>
      <c r="E107" s="31">
        <v>40000</v>
      </c>
    </row>
    <row r="108" spans="1:5" ht="22.5" customHeight="1">
      <c r="A108" s="11"/>
      <c r="B108" s="14"/>
      <c r="C108" s="14">
        <v>4300</v>
      </c>
      <c r="D108" s="15" t="s">
        <v>10</v>
      </c>
      <c r="E108" s="52">
        <f>2242200+5000</f>
        <v>2247200</v>
      </c>
    </row>
    <row r="109" spans="1:5" ht="22.5" customHeight="1">
      <c r="A109" s="11"/>
      <c r="B109" s="14"/>
      <c r="C109" s="14">
        <v>4360</v>
      </c>
      <c r="D109" s="15" t="s">
        <v>15</v>
      </c>
      <c r="E109" s="52">
        <f>30000+2000</f>
        <v>32000</v>
      </c>
    </row>
    <row r="110" spans="1:5" ht="22.5" customHeight="1">
      <c r="A110" s="11"/>
      <c r="B110" s="14"/>
      <c r="C110" s="14">
        <v>4390</v>
      </c>
      <c r="D110" s="15" t="s">
        <v>16</v>
      </c>
      <c r="E110" s="31">
        <v>7500</v>
      </c>
    </row>
    <row r="111" spans="1:5" ht="22.5" customHeight="1">
      <c r="A111" s="11"/>
      <c r="B111" s="14"/>
      <c r="C111" s="14">
        <v>4400</v>
      </c>
      <c r="D111" s="53" t="s">
        <v>71</v>
      </c>
      <c r="E111" s="31">
        <f>6000-6000</f>
        <v>0</v>
      </c>
    </row>
    <row r="112" spans="1:5" ht="22.5" customHeight="1">
      <c r="A112" s="11"/>
      <c r="B112" s="14"/>
      <c r="C112" s="14">
        <v>4410</v>
      </c>
      <c r="D112" s="15" t="s">
        <v>72</v>
      </c>
      <c r="E112" s="31">
        <v>75000</v>
      </c>
    </row>
    <row r="113" spans="1:5" ht="22.5" customHeight="1">
      <c r="A113" s="11"/>
      <c r="B113" s="14"/>
      <c r="C113" s="14">
        <v>4430</v>
      </c>
      <c r="D113" s="15" t="s">
        <v>17</v>
      </c>
      <c r="E113" s="31">
        <f>50500+4500+6000</f>
        <v>61000</v>
      </c>
    </row>
    <row r="114" spans="1:5" ht="22.5" customHeight="1">
      <c r="A114" s="11"/>
      <c r="B114" s="14"/>
      <c r="C114" s="14">
        <v>4520</v>
      </c>
      <c r="D114" s="15" t="s">
        <v>73</v>
      </c>
      <c r="E114" s="31">
        <f>24000+1500</f>
        <v>25500</v>
      </c>
    </row>
    <row r="115" spans="1:5" ht="33" customHeight="1">
      <c r="A115" s="11"/>
      <c r="B115" s="14"/>
      <c r="C115" s="14">
        <v>4600</v>
      </c>
      <c r="D115" s="15" t="s">
        <v>74</v>
      </c>
      <c r="E115" s="31">
        <v>400</v>
      </c>
    </row>
    <row r="116" spans="1:5" ht="22.5" customHeight="1">
      <c r="A116" s="11"/>
      <c r="B116" s="14"/>
      <c r="C116" s="14">
        <v>4700</v>
      </c>
      <c r="D116" s="15" t="s">
        <v>18</v>
      </c>
      <c r="E116" s="31">
        <f>126500-20000-5185</f>
        <v>101315</v>
      </c>
    </row>
    <row r="117" spans="1:5" ht="22.5" customHeight="1">
      <c r="A117" s="11"/>
      <c r="B117" s="14"/>
      <c r="C117" s="14">
        <v>4710</v>
      </c>
      <c r="D117" s="46" t="s">
        <v>40</v>
      </c>
      <c r="E117" s="31">
        <f>174242-150000</f>
        <v>24242</v>
      </c>
    </row>
    <row r="118" spans="1:5" ht="22.5" customHeight="1">
      <c r="A118" s="11"/>
      <c r="B118" s="14"/>
      <c r="C118" s="14">
        <v>6050</v>
      </c>
      <c r="D118" s="46" t="s">
        <v>75</v>
      </c>
      <c r="E118" s="31">
        <f>160000-145000</f>
        <v>15000</v>
      </c>
    </row>
    <row r="119" spans="1:5" ht="22.5" customHeight="1">
      <c r="A119" s="11"/>
      <c r="B119" s="14"/>
      <c r="C119" s="14">
        <v>6060</v>
      </c>
      <c r="D119" s="51" t="s">
        <v>76</v>
      </c>
      <c r="E119" s="31">
        <f>50000+130000-180000</f>
        <v>0</v>
      </c>
    </row>
    <row r="120" spans="1:5" ht="22.5" customHeight="1">
      <c r="A120" s="11"/>
      <c r="B120" s="12">
        <v>75045</v>
      </c>
      <c r="C120" s="140" t="s">
        <v>77</v>
      </c>
      <c r="D120" s="141"/>
      <c r="E120" s="13">
        <f>SUM(E121:E131)</f>
        <v>124000</v>
      </c>
    </row>
    <row r="121" spans="1:5" ht="22.5" customHeight="1">
      <c r="A121" s="11"/>
      <c r="B121" s="12"/>
      <c r="C121" s="14">
        <v>3030</v>
      </c>
      <c r="D121" s="15" t="s">
        <v>78</v>
      </c>
      <c r="E121" s="31">
        <f>54000-20100</f>
        <v>33900</v>
      </c>
    </row>
    <row r="122" spans="1:5" ht="22.5" customHeight="1">
      <c r="A122" s="11"/>
      <c r="B122" s="12"/>
      <c r="C122" s="14">
        <v>4010</v>
      </c>
      <c r="D122" s="51" t="s">
        <v>79</v>
      </c>
      <c r="E122" s="31">
        <v>4700</v>
      </c>
    </row>
    <row r="123" spans="1:5" ht="22.5" customHeight="1">
      <c r="A123" s="11"/>
      <c r="B123" s="14"/>
      <c r="C123" s="14">
        <v>4110</v>
      </c>
      <c r="D123" s="15" t="s">
        <v>57</v>
      </c>
      <c r="E123" s="31">
        <f>5500-2000+3157</f>
        <v>6657</v>
      </c>
    </row>
    <row r="124" spans="1:5" ht="24" customHeight="1">
      <c r="A124" s="11"/>
      <c r="B124" s="14"/>
      <c r="C124" s="14">
        <v>4120</v>
      </c>
      <c r="D124" s="15" t="s">
        <v>80</v>
      </c>
      <c r="E124" s="31">
        <f>800+100</f>
        <v>900</v>
      </c>
    </row>
    <row r="125" spans="1:5" ht="22.5" customHeight="1">
      <c r="A125" s="11"/>
      <c r="B125" s="14"/>
      <c r="C125" s="14">
        <v>4170</v>
      </c>
      <c r="D125" s="15" t="s">
        <v>81</v>
      </c>
      <c r="E125" s="31">
        <f>24000+5000+2500-3157</f>
        <v>28343</v>
      </c>
    </row>
    <row r="126" spans="1:5" ht="22.5" customHeight="1">
      <c r="A126" s="11"/>
      <c r="B126" s="14"/>
      <c r="C126" s="14">
        <v>4210</v>
      </c>
      <c r="D126" s="15" t="s">
        <v>82</v>
      </c>
      <c r="E126" s="31">
        <f>16000-2000-1500+1437-600</f>
        <v>13337</v>
      </c>
    </row>
    <row r="127" spans="1:5" ht="22.5" customHeight="1">
      <c r="A127" s="11"/>
      <c r="B127" s="14"/>
      <c r="C127" s="14">
        <v>4220</v>
      </c>
      <c r="D127" s="15" t="s">
        <v>83</v>
      </c>
      <c r="E127" s="31">
        <f>2500-100-521</f>
        <v>1879</v>
      </c>
    </row>
    <row r="128" spans="1:5" ht="22.5" customHeight="1">
      <c r="A128" s="11"/>
      <c r="B128" s="14"/>
      <c r="C128" s="14">
        <v>4280</v>
      </c>
      <c r="D128" s="15" t="s">
        <v>84</v>
      </c>
      <c r="E128" s="31">
        <f>4000-600</f>
        <v>3400</v>
      </c>
    </row>
    <row r="129" spans="1:5" ht="22.5" customHeight="1">
      <c r="A129" s="11"/>
      <c r="B129" s="14"/>
      <c r="C129" s="14">
        <v>4300</v>
      </c>
      <c r="D129" s="15" t="s">
        <v>43</v>
      </c>
      <c r="E129" s="31">
        <f>2500-1000-916+600</f>
        <v>1184</v>
      </c>
    </row>
    <row r="130" spans="1:5" ht="22.5" customHeight="1">
      <c r="A130" s="11"/>
      <c r="B130" s="14"/>
      <c r="C130" s="14">
        <v>4300</v>
      </c>
      <c r="D130" s="15" t="s">
        <v>85</v>
      </c>
      <c r="E130" s="31">
        <v>20700</v>
      </c>
    </row>
    <row r="131" spans="1:5" ht="22.5" customHeight="1">
      <c r="A131" s="11"/>
      <c r="B131" s="14"/>
      <c r="C131" s="38">
        <v>4400</v>
      </c>
      <c r="D131" s="15" t="s">
        <v>86</v>
      </c>
      <c r="E131" s="31">
        <f>10000-1000</f>
        <v>9000</v>
      </c>
    </row>
    <row r="132" spans="1:5" ht="22.5" customHeight="1">
      <c r="A132" s="11"/>
      <c r="B132" s="12">
        <v>75095</v>
      </c>
      <c r="C132" s="140" t="s">
        <v>9</v>
      </c>
      <c r="D132" s="141"/>
      <c r="E132" s="13">
        <f>SUM(E133)</f>
        <v>30600</v>
      </c>
    </row>
    <row r="133" spans="1:5" ht="22.5" customHeight="1">
      <c r="A133" s="11"/>
      <c r="B133" s="12"/>
      <c r="C133" s="14">
        <v>4400</v>
      </c>
      <c r="D133" s="15" t="s">
        <v>26</v>
      </c>
      <c r="E133" s="31">
        <f>30000+600</f>
        <v>30600</v>
      </c>
    </row>
    <row r="134" spans="1:5" ht="22.5" customHeight="1">
      <c r="A134" s="17">
        <v>754</v>
      </c>
      <c r="B134" s="129" t="s">
        <v>87</v>
      </c>
      <c r="C134" s="130"/>
      <c r="D134" s="131"/>
      <c r="E134" s="24">
        <f>E138+E135</f>
        <v>750000</v>
      </c>
    </row>
    <row r="135" spans="1:5" ht="22.5" customHeight="1">
      <c r="A135" s="11"/>
      <c r="B135" s="12">
        <v>75405</v>
      </c>
      <c r="C135" s="140" t="s">
        <v>88</v>
      </c>
      <c r="D135" s="141"/>
      <c r="E135" s="13">
        <f>E136+E137</f>
        <v>120000</v>
      </c>
    </row>
    <row r="136" spans="1:5" ht="22.5" customHeight="1">
      <c r="A136" s="11"/>
      <c r="B136" s="12"/>
      <c r="C136" s="14">
        <v>2300</v>
      </c>
      <c r="D136" s="15" t="s">
        <v>89</v>
      </c>
      <c r="E136" s="31">
        <v>17500</v>
      </c>
    </row>
    <row r="137" spans="1:5" ht="33" customHeight="1">
      <c r="A137" s="11"/>
      <c r="B137" s="12"/>
      <c r="C137" s="14">
        <v>6170</v>
      </c>
      <c r="D137" s="15" t="s">
        <v>90</v>
      </c>
      <c r="E137" s="31">
        <v>102500</v>
      </c>
    </row>
    <row r="138" spans="1:5" ht="22.5" customHeight="1">
      <c r="A138" s="11"/>
      <c r="B138" s="12">
        <v>75421</v>
      </c>
      <c r="C138" s="140" t="s">
        <v>91</v>
      </c>
      <c r="D138" s="141"/>
      <c r="E138" s="13">
        <f>E139+E140+E142+E141</f>
        <v>630000</v>
      </c>
    </row>
    <row r="139" spans="1:5" ht="22.5" customHeight="1">
      <c r="A139" s="11"/>
      <c r="B139" s="12"/>
      <c r="C139" s="14">
        <v>4210</v>
      </c>
      <c r="D139" s="15" t="s">
        <v>13</v>
      </c>
      <c r="E139" s="31">
        <f>20000+50000</f>
        <v>70000</v>
      </c>
    </row>
    <row r="140" spans="1:5" ht="22.5" customHeight="1">
      <c r="A140" s="11"/>
      <c r="B140" s="12"/>
      <c r="C140" s="14">
        <v>4300</v>
      </c>
      <c r="D140" s="15" t="s">
        <v>10</v>
      </c>
      <c r="E140" s="31">
        <f>80000-50000</f>
        <v>30000</v>
      </c>
    </row>
    <row r="141" spans="1:5" ht="22.5" customHeight="1">
      <c r="A141" s="11"/>
      <c r="B141" s="12"/>
      <c r="C141" s="14">
        <v>4300</v>
      </c>
      <c r="D141" s="54" t="s">
        <v>92</v>
      </c>
      <c r="E141" s="31">
        <f>85000+85000</f>
        <v>170000</v>
      </c>
    </row>
    <row r="142" spans="1:5" ht="22.5" customHeight="1">
      <c r="A142" s="11"/>
      <c r="B142" s="14"/>
      <c r="C142" s="14">
        <v>4810</v>
      </c>
      <c r="D142" s="15" t="s">
        <v>93</v>
      </c>
      <c r="E142" s="31">
        <v>360000</v>
      </c>
    </row>
    <row r="143" spans="1:5" ht="22.5" customHeight="1">
      <c r="A143" s="35">
        <v>755</v>
      </c>
      <c r="B143" s="129" t="s">
        <v>94</v>
      </c>
      <c r="C143" s="130"/>
      <c r="D143" s="131"/>
      <c r="E143" s="24">
        <f>E144</f>
        <v>530164</v>
      </c>
    </row>
    <row r="144" spans="1:5" ht="22.5" customHeight="1">
      <c r="A144" s="48"/>
      <c r="B144" s="12">
        <v>75515</v>
      </c>
      <c r="C144" s="140" t="s">
        <v>95</v>
      </c>
      <c r="D144" s="141"/>
      <c r="E144" s="13">
        <f>SUM(E145:E152)</f>
        <v>530164</v>
      </c>
    </row>
    <row r="145" spans="1:5" ht="48" customHeight="1">
      <c r="A145" s="48"/>
      <c r="B145" s="12"/>
      <c r="C145" s="38">
        <v>2360</v>
      </c>
      <c r="D145" s="15" t="s">
        <v>96</v>
      </c>
      <c r="E145" s="31">
        <v>256080</v>
      </c>
    </row>
    <row r="146" spans="1:5" ht="48" customHeight="1">
      <c r="A146" s="48"/>
      <c r="B146" s="12"/>
      <c r="C146" s="38">
        <v>2910</v>
      </c>
      <c r="D146" s="55" t="s">
        <v>97</v>
      </c>
      <c r="E146" s="31">
        <v>2138</v>
      </c>
    </row>
    <row r="147" spans="1:5" ht="22.5" customHeight="1">
      <c r="A147" s="11"/>
      <c r="B147" s="14"/>
      <c r="C147" s="14">
        <v>4010</v>
      </c>
      <c r="D147" s="51" t="s">
        <v>79</v>
      </c>
      <c r="E147" s="31">
        <v>17300</v>
      </c>
    </row>
    <row r="148" spans="1:5" ht="22.5" customHeight="1">
      <c r="A148" s="11"/>
      <c r="B148" s="14"/>
      <c r="C148" s="14">
        <v>4110</v>
      </c>
      <c r="D148" s="15" t="s">
        <v>57</v>
      </c>
      <c r="E148" s="31">
        <v>2975</v>
      </c>
    </row>
    <row r="149" spans="1:5" ht="24" customHeight="1">
      <c r="A149" s="11"/>
      <c r="B149" s="14"/>
      <c r="C149" s="14">
        <v>4120</v>
      </c>
      <c r="D149" s="15" t="s">
        <v>80</v>
      </c>
      <c r="E149" s="31">
        <v>425</v>
      </c>
    </row>
    <row r="150" spans="1:5" ht="22.5" customHeight="1">
      <c r="A150" s="11"/>
      <c r="B150" s="14"/>
      <c r="C150" s="14">
        <v>4210</v>
      </c>
      <c r="D150" s="15" t="s">
        <v>42</v>
      </c>
      <c r="E150" s="31">
        <f>24680-14182</f>
        <v>10498</v>
      </c>
    </row>
    <row r="151" spans="1:5" ht="22.5" customHeight="1">
      <c r="A151" s="11"/>
      <c r="B151" s="14"/>
      <c r="C151" s="14">
        <v>4300</v>
      </c>
      <c r="D151" s="15" t="s">
        <v>43</v>
      </c>
      <c r="E151" s="31">
        <f>247240-6518</f>
        <v>240722</v>
      </c>
    </row>
    <row r="152" spans="1:5" ht="54" customHeight="1">
      <c r="A152" s="11"/>
      <c r="B152" s="14"/>
      <c r="C152" s="14">
        <v>4560</v>
      </c>
      <c r="D152" s="56" t="s">
        <v>98</v>
      </c>
      <c r="E152" s="31">
        <v>26</v>
      </c>
    </row>
    <row r="153" spans="1:5" ht="22.5" customHeight="1">
      <c r="A153" s="149" t="s">
        <v>99</v>
      </c>
      <c r="B153" s="150"/>
      <c r="C153" s="150"/>
      <c r="D153" s="151"/>
      <c r="E153" s="39">
        <f>SUM(E154+E157,E166,E171,E175,E213,E224)</f>
        <v>19282164.350000001</v>
      </c>
    </row>
    <row r="154" spans="1:5" ht="22.5" customHeight="1">
      <c r="A154" s="35">
        <v>700</v>
      </c>
      <c r="B154" s="123" t="s">
        <v>53</v>
      </c>
      <c r="C154" s="124"/>
      <c r="D154" s="125"/>
      <c r="E154" s="57">
        <f>E155</f>
        <v>2000000</v>
      </c>
    </row>
    <row r="155" spans="1:5" ht="22.5" customHeight="1">
      <c r="A155" s="48"/>
      <c r="B155" s="12">
        <v>70005</v>
      </c>
      <c r="C155" s="140" t="s">
        <v>54</v>
      </c>
      <c r="D155" s="141"/>
      <c r="E155" s="42">
        <f>SUM(E156)</f>
        <v>2000000</v>
      </c>
    </row>
    <row r="156" spans="1:5" ht="33.75" customHeight="1">
      <c r="A156" s="48"/>
      <c r="B156" s="12"/>
      <c r="C156" s="14">
        <v>6060</v>
      </c>
      <c r="D156" s="15" t="s">
        <v>100</v>
      </c>
      <c r="E156" s="58">
        <v>2000000</v>
      </c>
    </row>
    <row r="157" spans="1:5" ht="22.5" customHeight="1">
      <c r="A157" s="35">
        <v>710</v>
      </c>
      <c r="B157" s="123" t="s">
        <v>60</v>
      </c>
      <c r="C157" s="124"/>
      <c r="D157" s="125"/>
      <c r="E157" s="57">
        <f>E158</f>
        <v>9095190.5399999991</v>
      </c>
    </row>
    <row r="158" spans="1:5" ht="22.5" customHeight="1">
      <c r="A158" s="48"/>
      <c r="B158" s="12">
        <v>71012</v>
      </c>
      <c r="C158" s="140" t="s">
        <v>61</v>
      </c>
      <c r="D158" s="141"/>
      <c r="E158" s="42">
        <f>SUM(E159:E165)</f>
        <v>9095190.5399999991</v>
      </c>
    </row>
    <row r="159" spans="1:5" ht="22.5" customHeight="1">
      <c r="A159" s="48"/>
      <c r="B159" s="12"/>
      <c r="C159" s="14">
        <v>4307</v>
      </c>
      <c r="D159" s="15" t="s">
        <v>10</v>
      </c>
      <c r="E159" s="58">
        <f>44977+44338.45-13600.01-38250</f>
        <v>37465.440000000002</v>
      </c>
    </row>
    <row r="160" spans="1:5" ht="22.5" customHeight="1">
      <c r="A160" s="48"/>
      <c r="B160" s="12"/>
      <c r="C160" s="14">
        <v>4309</v>
      </c>
      <c r="D160" s="15" t="s">
        <v>10</v>
      </c>
      <c r="E160" s="58">
        <f>7937+7824.55-2399.99-6750</f>
        <v>6611.5599999999995</v>
      </c>
    </row>
    <row r="161" spans="1:5" ht="22.5" customHeight="1">
      <c r="A161" s="48"/>
      <c r="B161" s="12"/>
      <c r="C161" s="14">
        <v>4707</v>
      </c>
      <c r="D161" s="15" t="s">
        <v>18</v>
      </c>
      <c r="E161" s="58">
        <v>38250</v>
      </c>
    </row>
    <row r="162" spans="1:5" ht="22.5" customHeight="1">
      <c r="A162" s="48"/>
      <c r="B162" s="12"/>
      <c r="C162" s="14">
        <v>4709</v>
      </c>
      <c r="D162" s="15" t="s">
        <v>18</v>
      </c>
      <c r="E162" s="58">
        <v>6750</v>
      </c>
    </row>
    <row r="163" spans="1:5" ht="22.5" customHeight="1">
      <c r="A163" s="48"/>
      <c r="B163" s="12"/>
      <c r="C163" s="14">
        <v>6050</v>
      </c>
      <c r="D163" s="59" t="s">
        <v>75</v>
      </c>
      <c r="E163" s="58">
        <f>1000000-500000-500000</f>
        <v>0</v>
      </c>
    </row>
    <row r="164" spans="1:5" ht="22.5" customHeight="1">
      <c r="A164" s="48"/>
      <c r="B164" s="12"/>
      <c r="C164" s="14">
        <v>6057</v>
      </c>
      <c r="D164" s="15" t="s">
        <v>101</v>
      </c>
      <c r="E164" s="58">
        <f>10356921+85000.41-2042127.24-823853.98</f>
        <v>7575940.1899999995</v>
      </c>
    </row>
    <row r="165" spans="1:5" ht="22.5" customHeight="1">
      <c r="A165" s="48"/>
      <c r="B165" s="12"/>
      <c r="C165" s="14">
        <v>6059</v>
      </c>
      <c r="D165" s="15" t="s">
        <v>101</v>
      </c>
      <c r="E165" s="58">
        <f>1827692+15000.01-360375.4-145386+93242.74</f>
        <v>1430173.3499999999</v>
      </c>
    </row>
    <row r="166" spans="1:5" ht="22.5" customHeight="1">
      <c r="A166" s="35">
        <v>750</v>
      </c>
      <c r="B166" s="129" t="s">
        <v>11</v>
      </c>
      <c r="C166" s="130"/>
      <c r="D166" s="131"/>
      <c r="E166" s="57">
        <f>E169+E167</f>
        <v>120000</v>
      </c>
    </row>
    <row r="167" spans="1:5" ht="22.5" customHeight="1">
      <c r="A167" s="48"/>
      <c r="B167" s="60">
        <v>75020</v>
      </c>
      <c r="C167" s="140" t="s">
        <v>12</v>
      </c>
      <c r="D167" s="141"/>
      <c r="E167" s="42">
        <f>E168</f>
        <v>50000</v>
      </c>
    </row>
    <row r="168" spans="1:5" ht="22.5" customHeight="1">
      <c r="A168" s="48"/>
      <c r="B168" s="12"/>
      <c r="C168" s="14">
        <v>4210</v>
      </c>
      <c r="D168" s="15" t="s">
        <v>13</v>
      </c>
      <c r="E168" s="58">
        <v>50000</v>
      </c>
    </row>
    <row r="169" spans="1:5" ht="22.5" customHeight="1">
      <c r="A169" s="48"/>
      <c r="B169" s="60">
        <v>75075</v>
      </c>
      <c r="C169" s="140" t="s">
        <v>102</v>
      </c>
      <c r="D169" s="141"/>
      <c r="E169" s="42">
        <f>E170</f>
        <v>70000</v>
      </c>
    </row>
    <row r="170" spans="1:5" ht="22.5" customHeight="1">
      <c r="A170" s="48"/>
      <c r="B170" s="12"/>
      <c r="C170" s="14">
        <v>4300</v>
      </c>
      <c r="D170" s="15" t="s">
        <v>10</v>
      </c>
      <c r="E170" s="58">
        <f>40000+30000</f>
        <v>70000</v>
      </c>
    </row>
    <row r="171" spans="1:5" ht="22.5" customHeight="1">
      <c r="A171" s="35">
        <v>754</v>
      </c>
      <c r="B171" s="129" t="s">
        <v>87</v>
      </c>
      <c r="C171" s="130"/>
      <c r="D171" s="131"/>
      <c r="E171" s="57">
        <f>E172</f>
        <v>0</v>
      </c>
    </row>
    <row r="172" spans="1:5" ht="22.5" customHeight="1">
      <c r="A172" s="48"/>
      <c r="B172" s="12">
        <v>75495</v>
      </c>
      <c r="C172" s="140" t="s">
        <v>9</v>
      </c>
      <c r="D172" s="141"/>
      <c r="E172" s="42">
        <f>SUM(E173:E174)</f>
        <v>0</v>
      </c>
    </row>
    <row r="173" spans="1:5" ht="22.5" customHeight="1">
      <c r="A173" s="48"/>
      <c r="B173" s="12"/>
      <c r="C173" s="14">
        <v>4210</v>
      </c>
      <c r="D173" s="15" t="s">
        <v>13</v>
      </c>
      <c r="E173" s="58">
        <f>8000-8000</f>
        <v>0</v>
      </c>
    </row>
    <row r="174" spans="1:5" ht="22.5" customHeight="1">
      <c r="A174" s="48"/>
      <c r="B174" s="12"/>
      <c r="C174" s="14">
        <v>4300</v>
      </c>
      <c r="D174" s="15" t="s">
        <v>10</v>
      </c>
      <c r="E174" s="58">
        <f>12000-12000</f>
        <v>0</v>
      </c>
    </row>
    <row r="175" spans="1:5" ht="22.5" customHeight="1">
      <c r="A175" s="61">
        <v>801</v>
      </c>
      <c r="B175" s="160" t="s">
        <v>103</v>
      </c>
      <c r="C175" s="161"/>
      <c r="D175" s="162"/>
      <c r="E175" s="24">
        <f>E176</f>
        <v>2854107.06</v>
      </c>
    </row>
    <row r="176" spans="1:5" ht="22.5" customHeight="1">
      <c r="A176" s="61"/>
      <c r="B176" s="12">
        <v>80195</v>
      </c>
      <c r="C176" s="140" t="s">
        <v>9</v>
      </c>
      <c r="D176" s="141"/>
      <c r="E176" s="13">
        <f>SUM(E177:E212)</f>
        <v>2854107.06</v>
      </c>
    </row>
    <row r="177" spans="1:5" ht="51" customHeight="1">
      <c r="A177" s="61"/>
      <c r="B177" s="60"/>
      <c r="C177" s="38">
        <v>2001</v>
      </c>
      <c r="D177" s="56" t="s">
        <v>104</v>
      </c>
      <c r="E177" s="31">
        <f>134515+9800</f>
        <v>144315</v>
      </c>
    </row>
    <row r="178" spans="1:5" ht="57" customHeight="1">
      <c r="A178" s="61"/>
      <c r="B178" s="60"/>
      <c r="C178" s="62">
        <v>2051</v>
      </c>
      <c r="D178" s="15" t="s">
        <v>105</v>
      </c>
      <c r="E178" s="31">
        <f>48498+1483-1800</f>
        <v>48181</v>
      </c>
    </row>
    <row r="179" spans="1:5" ht="48.75" customHeight="1">
      <c r="A179" s="61"/>
      <c r="B179" s="60"/>
      <c r="C179" s="62">
        <v>2057</v>
      </c>
      <c r="D179" s="15" t="s">
        <v>105</v>
      </c>
      <c r="E179" s="31">
        <f>113890+13786.04</f>
        <v>127676.04000000001</v>
      </c>
    </row>
    <row r="180" spans="1:5" ht="47.25">
      <c r="A180" s="61"/>
      <c r="B180" s="60"/>
      <c r="C180" s="62">
        <v>2059</v>
      </c>
      <c r="D180" s="15" t="s">
        <v>105</v>
      </c>
      <c r="E180" s="31">
        <f>10421+1261.32</f>
        <v>11682.32</v>
      </c>
    </row>
    <row r="181" spans="1:5" ht="22.5" customHeight="1">
      <c r="A181" s="61"/>
      <c r="B181" s="60"/>
      <c r="C181" s="14">
        <v>3037</v>
      </c>
      <c r="D181" s="15" t="s">
        <v>63</v>
      </c>
      <c r="E181" s="31">
        <f>115437+578.45+39824.97+0.34-0.38</f>
        <v>155840.37999999998</v>
      </c>
    </row>
    <row r="182" spans="1:5" ht="22.5" customHeight="1">
      <c r="A182" s="61"/>
      <c r="B182" s="60"/>
      <c r="C182" s="14">
        <v>3039</v>
      </c>
      <c r="D182" s="15" t="s">
        <v>63</v>
      </c>
      <c r="E182" s="31">
        <f>10562+53.55+3644.03-0.34+0.38</f>
        <v>14259.619999999999</v>
      </c>
    </row>
    <row r="183" spans="1:5" ht="22.5" customHeight="1">
      <c r="A183" s="61"/>
      <c r="B183" s="60"/>
      <c r="C183" s="14">
        <v>4011</v>
      </c>
      <c r="D183" s="15" t="s">
        <v>55</v>
      </c>
      <c r="E183" s="31">
        <f>4500+3500</f>
        <v>8000</v>
      </c>
    </row>
    <row r="184" spans="1:5" ht="22.5" customHeight="1">
      <c r="A184" s="61"/>
      <c r="B184" s="60"/>
      <c r="C184" s="14">
        <v>4017</v>
      </c>
      <c r="D184" s="15" t="s">
        <v>55</v>
      </c>
      <c r="E184" s="31">
        <f>122058+109313.48+10109.16-554.04-39616.53</f>
        <v>201310.06999999998</v>
      </c>
    </row>
    <row r="185" spans="1:5" ht="22.5" customHeight="1">
      <c r="A185" s="61"/>
      <c r="B185" s="60"/>
      <c r="C185" s="14">
        <v>4019</v>
      </c>
      <c r="D185" s="15" t="s">
        <v>55</v>
      </c>
      <c r="E185" s="31">
        <f>8794+10002.52-2179.49</f>
        <v>16617.03</v>
      </c>
    </row>
    <row r="186" spans="1:5" ht="22.5" customHeight="1">
      <c r="A186" s="61"/>
      <c r="B186" s="60"/>
      <c r="C186" s="14">
        <v>4111</v>
      </c>
      <c r="D186" s="15" t="s">
        <v>33</v>
      </c>
      <c r="E186" s="31">
        <f>900+1100</f>
        <v>2000</v>
      </c>
    </row>
    <row r="187" spans="1:5" ht="22.5" customHeight="1">
      <c r="A187" s="61"/>
      <c r="B187" s="60"/>
      <c r="C187" s="14">
        <v>4117</v>
      </c>
      <c r="D187" s="15" t="s">
        <v>33</v>
      </c>
      <c r="E187" s="31">
        <f>100506-1024.53-762.23-95.24-64017.8</f>
        <v>34606.199999999997</v>
      </c>
    </row>
    <row r="188" spans="1:5" ht="22.5" customHeight="1">
      <c r="A188" s="61"/>
      <c r="B188" s="60"/>
      <c r="C188" s="14">
        <v>4119</v>
      </c>
      <c r="D188" s="15" t="s">
        <v>33</v>
      </c>
      <c r="E188" s="31">
        <f>34946-265.55-31824.08</f>
        <v>2856.3699999999953</v>
      </c>
    </row>
    <row r="189" spans="1:5" ht="22.5" customHeight="1">
      <c r="A189" s="61"/>
      <c r="B189" s="60"/>
      <c r="C189" s="14">
        <v>4121</v>
      </c>
      <c r="D189" s="15" t="s">
        <v>106</v>
      </c>
      <c r="E189" s="31">
        <f>134+366</f>
        <v>500</v>
      </c>
    </row>
    <row r="190" spans="1:5" ht="22.5" customHeight="1">
      <c r="A190" s="61"/>
      <c r="B190" s="60"/>
      <c r="C190" s="14">
        <v>4127</v>
      </c>
      <c r="D190" s="15" t="s">
        <v>106</v>
      </c>
      <c r="E190" s="31">
        <f>2991+2678.34+247.67-13.57-971</f>
        <v>4932.4400000000005</v>
      </c>
    </row>
    <row r="191" spans="1:5" ht="22.5" customHeight="1">
      <c r="A191" s="61"/>
      <c r="B191" s="60"/>
      <c r="C191" s="14">
        <v>4129</v>
      </c>
      <c r="D191" s="15" t="s">
        <v>106</v>
      </c>
      <c r="E191" s="31">
        <f>4076+246.26-3912.66</f>
        <v>409.60000000000036</v>
      </c>
    </row>
    <row r="192" spans="1:5" ht="22.5" customHeight="1">
      <c r="A192" s="61"/>
      <c r="B192" s="60"/>
      <c r="C192" s="14">
        <v>4171</v>
      </c>
      <c r="D192" s="15" t="s">
        <v>37</v>
      </c>
      <c r="E192" s="31">
        <v>3000</v>
      </c>
    </row>
    <row r="193" spans="1:5" ht="22.5" customHeight="1">
      <c r="A193" s="61"/>
      <c r="B193" s="60"/>
      <c r="C193" s="14">
        <v>4177</v>
      </c>
      <c r="D193" s="15" t="s">
        <v>37</v>
      </c>
      <c r="E193" s="31">
        <f>1500+79338.44-7173</f>
        <v>73665.440000000002</v>
      </c>
    </row>
    <row r="194" spans="1:5" ht="22.5" customHeight="1">
      <c r="A194" s="61"/>
      <c r="B194" s="60"/>
      <c r="C194" s="14">
        <v>4179</v>
      </c>
      <c r="D194" s="15" t="s">
        <v>37</v>
      </c>
      <c r="E194" s="31">
        <v>5870.28</v>
      </c>
    </row>
    <row r="195" spans="1:5" ht="22.5" customHeight="1">
      <c r="A195" s="61"/>
      <c r="B195" s="60"/>
      <c r="C195" s="14">
        <v>4217</v>
      </c>
      <c r="D195" s="15" t="s">
        <v>41</v>
      </c>
      <c r="E195" s="31">
        <f>10000+1058.92-2.19+18956.85</f>
        <v>30013.579999999998</v>
      </c>
    </row>
    <row r="196" spans="1:5" ht="22.5" customHeight="1">
      <c r="A196" s="61"/>
      <c r="B196" s="60"/>
      <c r="C196" s="14">
        <v>4219</v>
      </c>
      <c r="D196" s="15" t="s">
        <v>41</v>
      </c>
      <c r="E196" s="31">
        <f>636.79+1043.15</f>
        <v>1679.94</v>
      </c>
    </row>
    <row r="197" spans="1:5" ht="22.5" customHeight="1">
      <c r="A197" s="61"/>
      <c r="B197" s="60"/>
      <c r="C197" s="14">
        <v>4247</v>
      </c>
      <c r="D197" s="15" t="s">
        <v>107</v>
      </c>
      <c r="E197" s="31">
        <v>302.27999999999997</v>
      </c>
    </row>
    <row r="198" spans="1:5" ht="22.5" customHeight="1">
      <c r="A198" s="61"/>
      <c r="B198" s="60"/>
      <c r="C198" s="14">
        <v>4249</v>
      </c>
      <c r="D198" s="15" t="s">
        <v>107</v>
      </c>
      <c r="E198" s="31">
        <v>27.82</v>
      </c>
    </row>
    <row r="199" spans="1:5" ht="22.5" customHeight="1">
      <c r="A199" s="61"/>
      <c r="B199" s="60"/>
      <c r="C199" s="14">
        <v>4287</v>
      </c>
      <c r="D199" s="15" t="s">
        <v>70</v>
      </c>
      <c r="E199" s="31">
        <f>109637-4663.43</f>
        <v>104973.57</v>
      </c>
    </row>
    <row r="200" spans="1:5" ht="22.5" customHeight="1">
      <c r="A200" s="61"/>
      <c r="B200" s="60"/>
      <c r="C200" s="14">
        <v>4289</v>
      </c>
      <c r="D200" s="15" t="s">
        <v>108</v>
      </c>
      <c r="E200" s="31">
        <f>6033-256.58</f>
        <v>5776.42</v>
      </c>
    </row>
    <row r="201" spans="1:5" ht="22.5" customHeight="1">
      <c r="A201" s="61"/>
      <c r="B201" s="60"/>
      <c r="C201" s="14">
        <v>4301</v>
      </c>
      <c r="D201" s="15" t="s">
        <v>10</v>
      </c>
      <c r="E201" s="31">
        <f>14000+10414.96</f>
        <v>24414.959999999999</v>
      </c>
    </row>
    <row r="202" spans="1:5" ht="22.5" customHeight="1">
      <c r="A202" s="61"/>
      <c r="B202" s="60"/>
      <c r="C202" s="14">
        <v>4307</v>
      </c>
      <c r="D202" s="15" t="s">
        <v>10</v>
      </c>
      <c r="E202" s="31">
        <f>391115+408759.57-2150-39824.97-75713.31</f>
        <v>682186.29</v>
      </c>
    </row>
    <row r="203" spans="1:5" ht="22.5" customHeight="1">
      <c r="A203" s="61"/>
      <c r="B203" s="60"/>
      <c r="C203" s="14">
        <v>4309</v>
      </c>
      <c r="D203" s="15" t="s">
        <v>10</v>
      </c>
      <c r="E203" s="31">
        <f>31765+37546.47-3644.03-4166.69</f>
        <v>61500.75</v>
      </c>
    </row>
    <row r="204" spans="1:5" ht="22.5" customHeight="1">
      <c r="A204" s="61"/>
      <c r="B204" s="60"/>
      <c r="C204" s="14">
        <v>4381</v>
      </c>
      <c r="D204" s="15" t="s">
        <v>109</v>
      </c>
      <c r="E204" s="31">
        <f>2000+1000</f>
        <v>3000</v>
      </c>
    </row>
    <row r="205" spans="1:5" ht="22.5" customHeight="1">
      <c r="A205" s="61"/>
      <c r="B205" s="60"/>
      <c r="C205" s="14">
        <v>4417</v>
      </c>
      <c r="D205" s="15" t="s">
        <v>72</v>
      </c>
      <c r="E205" s="31">
        <f>2000-1500-269.41</f>
        <v>230.58999999999997</v>
      </c>
    </row>
    <row r="206" spans="1:5" ht="22.5" customHeight="1">
      <c r="A206" s="61"/>
      <c r="B206" s="63"/>
      <c r="C206" s="14">
        <v>4421</v>
      </c>
      <c r="D206" s="15" t="s">
        <v>110</v>
      </c>
      <c r="E206" s="31">
        <f>25195+14805-8000</f>
        <v>32000</v>
      </c>
    </row>
    <row r="207" spans="1:5" ht="22.5" customHeight="1">
      <c r="A207" s="61"/>
      <c r="B207" s="64"/>
      <c r="C207" s="14">
        <v>4431</v>
      </c>
      <c r="D207" s="15" t="s">
        <v>51</v>
      </c>
      <c r="E207" s="31">
        <f>300+700</f>
        <v>1000</v>
      </c>
    </row>
    <row r="208" spans="1:5" ht="22.5" customHeight="1">
      <c r="A208" s="61"/>
      <c r="B208" s="64"/>
      <c r="C208" s="14">
        <v>4437</v>
      </c>
      <c r="D208" s="15" t="s">
        <v>51</v>
      </c>
      <c r="E208" s="31">
        <v>48101.120000000003</v>
      </c>
    </row>
    <row r="209" spans="1:5" ht="22.5" customHeight="1">
      <c r="A209" s="61"/>
      <c r="B209" s="64"/>
      <c r="C209" s="14">
        <v>4439</v>
      </c>
      <c r="D209" s="15" t="s">
        <v>51</v>
      </c>
      <c r="E209" s="31">
        <v>10806.88</v>
      </c>
    </row>
    <row r="210" spans="1:5" ht="24.75" customHeight="1">
      <c r="A210" s="61"/>
      <c r="B210" s="60"/>
      <c r="C210" s="38">
        <v>4717</v>
      </c>
      <c r="D210" s="65" t="s">
        <v>40</v>
      </c>
      <c r="E210" s="31">
        <v>382.04</v>
      </c>
    </row>
    <row r="211" spans="1:5" ht="24.75" customHeight="1">
      <c r="A211" s="61"/>
      <c r="B211" s="60"/>
      <c r="C211" s="38">
        <v>4719</v>
      </c>
      <c r="D211" s="65" t="s">
        <v>40</v>
      </c>
      <c r="E211" s="31">
        <v>21.03</v>
      </c>
    </row>
    <row r="212" spans="1:5" ht="25.5" customHeight="1">
      <c r="A212" s="61"/>
      <c r="B212" s="60"/>
      <c r="C212" s="38">
        <v>6050</v>
      </c>
      <c r="D212" s="66" t="s">
        <v>111</v>
      </c>
      <c r="E212" s="31">
        <v>991968</v>
      </c>
    </row>
    <row r="213" spans="1:5" ht="22.5" customHeight="1">
      <c r="A213" s="61">
        <v>851</v>
      </c>
      <c r="B213" s="160" t="s">
        <v>21</v>
      </c>
      <c r="C213" s="161"/>
      <c r="D213" s="162"/>
      <c r="E213" s="24">
        <f>E214+E216</f>
        <v>1917866.75</v>
      </c>
    </row>
    <row r="214" spans="1:5" ht="22.5" customHeight="1">
      <c r="A214" s="61"/>
      <c r="B214" s="12">
        <v>85111</v>
      </c>
      <c r="C214" s="140" t="s">
        <v>112</v>
      </c>
      <c r="D214" s="141"/>
      <c r="E214" s="13">
        <f>SUM(E215)</f>
        <v>0</v>
      </c>
    </row>
    <row r="215" spans="1:5" ht="51" customHeight="1">
      <c r="A215" s="61"/>
      <c r="B215" s="60"/>
      <c r="C215" s="38">
        <v>6220</v>
      </c>
      <c r="D215" s="67" t="s">
        <v>24</v>
      </c>
      <c r="E215" s="31">
        <f>4000000-4000000</f>
        <v>0</v>
      </c>
    </row>
    <row r="216" spans="1:5" ht="22.5" customHeight="1">
      <c r="A216" s="61"/>
      <c r="B216" s="12">
        <v>85195</v>
      </c>
      <c r="C216" s="140" t="s">
        <v>9</v>
      </c>
      <c r="D216" s="141"/>
      <c r="E216" s="13">
        <f>SUM(E217:E223)</f>
        <v>1917866.75</v>
      </c>
    </row>
    <row r="217" spans="1:5" ht="24" customHeight="1">
      <c r="A217" s="61"/>
      <c r="B217" s="60"/>
      <c r="C217" s="38">
        <v>4017</v>
      </c>
      <c r="D217" s="68" t="s">
        <v>55</v>
      </c>
      <c r="E217" s="31">
        <f>206790+132068-60-50000</f>
        <v>288798</v>
      </c>
    </row>
    <row r="218" spans="1:5" ht="27.75" customHeight="1">
      <c r="A218" s="61"/>
      <c r="B218" s="60"/>
      <c r="C218" s="38">
        <v>4117</v>
      </c>
      <c r="D218" s="68" t="s">
        <v>33</v>
      </c>
      <c r="E218" s="31">
        <f>35547+22864.91</f>
        <v>58411.91</v>
      </c>
    </row>
    <row r="219" spans="1:5" ht="28.5" customHeight="1">
      <c r="A219" s="69"/>
      <c r="B219" s="70"/>
      <c r="C219" s="71">
        <v>4127</v>
      </c>
      <c r="D219" s="68" t="s">
        <v>106</v>
      </c>
      <c r="E219" s="31">
        <f>5066+3309.55</f>
        <v>8375.5499999999993</v>
      </c>
    </row>
    <row r="220" spans="1:5" ht="28.5" customHeight="1">
      <c r="A220" s="69"/>
      <c r="B220" s="70"/>
      <c r="C220" s="71">
        <v>4217</v>
      </c>
      <c r="D220" s="72" t="s">
        <v>41</v>
      </c>
      <c r="E220" s="31">
        <f>2082868+663810.48-1398422.05-139520.84</f>
        <v>1208735.5899999999</v>
      </c>
    </row>
    <row r="221" spans="1:5" ht="28.5" customHeight="1">
      <c r="A221" s="61"/>
      <c r="B221" s="60"/>
      <c r="C221" s="38">
        <v>4307</v>
      </c>
      <c r="D221" s="72" t="s">
        <v>10</v>
      </c>
      <c r="E221" s="31">
        <v>50000</v>
      </c>
    </row>
    <row r="222" spans="1:5" ht="24.75" customHeight="1">
      <c r="A222" s="61"/>
      <c r="B222" s="60"/>
      <c r="C222" s="38">
        <v>4717</v>
      </c>
      <c r="D222" s="65" t="s">
        <v>40</v>
      </c>
      <c r="E222" s="31">
        <v>60</v>
      </c>
    </row>
    <row r="223" spans="1:5" ht="25.5" customHeight="1">
      <c r="A223" s="61"/>
      <c r="B223" s="12"/>
      <c r="C223" s="38">
        <v>6067</v>
      </c>
      <c r="D223" s="73" t="s">
        <v>76</v>
      </c>
      <c r="E223" s="31">
        <f>300000+272.04+1398422.05-1395208.39</f>
        <v>303485.70000000019</v>
      </c>
    </row>
    <row r="224" spans="1:5" ht="25.5" customHeight="1">
      <c r="A224" s="61">
        <v>855</v>
      </c>
      <c r="B224" s="160" t="s">
        <v>113</v>
      </c>
      <c r="C224" s="161"/>
      <c r="D224" s="162"/>
      <c r="E224" s="24">
        <f>E225</f>
        <v>3295000</v>
      </c>
    </row>
    <row r="225" spans="1:6" ht="25.5" customHeight="1">
      <c r="A225" s="61"/>
      <c r="B225" s="12">
        <v>85510</v>
      </c>
      <c r="C225" s="140" t="s">
        <v>114</v>
      </c>
      <c r="D225" s="141"/>
      <c r="E225" s="13">
        <f>E226</f>
        <v>3295000</v>
      </c>
    </row>
    <row r="226" spans="1:6" ht="25.5" customHeight="1">
      <c r="A226" s="61"/>
      <c r="B226" s="60"/>
      <c r="C226" s="38">
        <v>6050</v>
      </c>
      <c r="D226" s="66" t="s">
        <v>111</v>
      </c>
      <c r="E226" s="31">
        <v>3295000</v>
      </c>
    </row>
    <row r="227" spans="1:6" ht="22.5" customHeight="1">
      <c r="A227" s="149" t="s">
        <v>115</v>
      </c>
      <c r="B227" s="150"/>
      <c r="C227" s="150"/>
      <c r="D227" s="151"/>
      <c r="E227" s="39">
        <f>SUM(E228,E234,E244,E247,E240)</f>
        <v>8654082</v>
      </c>
    </row>
    <row r="228" spans="1:6" ht="22.5" customHeight="1">
      <c r="A228" s="74" t="s">
        <v>116</v>
      </c>
      <c r="B228" s="129" t="s">
        <v>117</v>
      </c>
      <c r="C228" s="130"/>
      <c r="D228" s="131"/>
      <c r="E228" s="24">
        <f>SUM(E229,E231)</f>
        <v>35000</v>
      </c>
    </row>
    <row r="229" spans="1:6" ht="22.5" customHeight="1">
      <c r="A229" s="11"/>
      <c r="B229" s="75" t="s">
        <v>118</v>
      </c>
      <c r="C229" s="154" t="s">
        <v>119</v>
      </c>
      <c r="D229" s="155"/>
      <c r="E229" s="42">
        <f>E230</f>
        <v>25000</v>
      </c>
    </row>
    <row r="230" spans="1:6" ht="29.25" customHeight="1">
      <c r="A230" s="11"/>
      <c r="B230" s="20"/>
      <c r="C230" s="76">
        <v>2710</v>
      </c>
      <c r="D230" s="72" t="s">
        <v>120</v>
      </c>
      <c r="E230" s="43">
        <v>25000</v>
      </c>
      <c r="F230" s="77"/>
    </row>
    <row r="231" spans="1:6" ht="22.5" customHeight="1">
      <c r="A231" s="11"/>
      <c r="B231" s="75" t="s">
        <v>121</v>
      </c>
      <c r="C231" s="154" t="s">
        <v>9</v>
      </c>
      <c r="D231" s="155"/>
      <c r="E231" s="42">
        <f>E232+E233</f>
        <v>10000</v>
      </c>
    </row>
    <row r="232" spans="1:6" ht="22.5" customHeight="1">
      <c r="A232" s="11"/>
      <c r="B232" s="20"/>
      <c r="C232" s="14">
        <v>4190</v>
      </c>
      <c r="D232" s="15" t="s">
        <v>122</v>
      </c>
      <c r="E232" s="31">
        <v>5000</v>
      </c>
    </row>
    <row r="233" spans="1:6" ht="22.5" customHeight="1">
      <c r="A233" s="11"/>
      <c r="B233" s="20"/>
      <c r="C233" s="14">
        <v>4300</v>
      </c>
      <c r="D233" s="15" t="s">
        <v>10</v>
      </c>
      <c r="E233" s="52">
        <v>5000</v>
      </c>
    </row>
    <row r="234" spans="1:6" ht="22.5" customHeight="1">
      <c r="A234" s="74" t="s">
        <v>123</v>
      </c>
      <c r="B234" s="129" t="s">
        <v>124</v>
      </c>
      <c r="C234" s="130"/>
      <c r="D234" s="131"/>
      <c r="E234" s="24">
        <f>E235+E237</f>
        <v>300232</v>
      </c>
    </row>
    <row r="235" spans="1:6" ht="22.5" customHeight="1">
      <c r="A235" s="11"/>
      <c r="B235" s="75" t="s">
        <v>125</v>
      </c>
      <c r="C235" s="159" t="s">
        <v>126</v>
      </c>
      <c r="D235" s="159"/>
      <c r="E235" s="42">
        <f>E236</f>
        <v>295732</v>
      </c>
    </row>
    <row r="236" spans="1:6" ht="22.5" customHeight="1">
      <c r="A236" s="11"/>
      <c r="B236" s="75"/>
      <c r="C236" s="78">
        <v>3030</v>
      </c>
      <c r="D236" s="79" t="s">
        <v>127</v>
      </c>
      <c r="E236" s="58">
        <f>286856+8876</f>
        <v>295732</v>
      </c>
      <c r="F236" s="80"/>
    </row>
    <row r="237" spans="1:6" ht="22.5" customHeight="1">
      <c r="A237" s="11"/>
      <c r="B237" s="75" t="s">
        <v>128</v>
      </c>
      <c r="C237" s="159" t="s">
        <v>129</v>
      </c>
      <c r="D237" s="159"/>
      <c r="E237" s="42">
        <f>E238+E239</f>
        <v>4500</v>
      </c>
    </row>
    <row r="238" spans="1:6" ht="22.5" customHeight="1">
      <c r="A238" s="11"/>
      <c r="B238" s="20"/>
      <c r="C238" s="14">
        <v>4210</v>
      </c>
      <c r="D238" s="72" t="s">
        <v>13</v>
      </c>
      <c r="E238" s="31">
        <f>4500-17</f>
        <v>4483</v>
      </c>
    </row>
    <row r="239" spans="1:6" ht="22.5" customHeight="1">
      <c r="A239" s="11"/>
      <c r="B239" s="20"/>
      <c r="C239" s="14">
        <v>4300</v>
      </c>
      <c r="D239" s="15" t="s">
        <v>10</v>
      </c>
      <c r="E239" s="31">
        <v>17</v>
      </c>
    </row>
    <row r="240" spans="1:6" ht="22.5" customHeight="1">
      <c r="A240" s="17">
        <v>750</v>
      </c>
      <c r="B240" s="129" t="s">
        <v>11</v>
      </c>
      <c r="C240" s="130"/>
      <c r="D240" s="131"/>
      <c r="E240" s="24">
        <f>E241</f>
        <v>2550</v>
      </c>
    </row>
    <row r="241" spans="1:5" ht="22.5" customHeight="1">
      <c r="A241" s="11"/>
      <c r="B241" s="12">
        <v>75020</v>
      </c>
      <c r="C241" s="132" t="s">
        <v>12</v>
      </c>
      <c r="D241" s="132"/>
      <c r="E241" s="13">
        <f>SUM(E242:E243)</f>
        <v>2550</v>
      </c>
    </row>
    <row r="242" spans="1:5" ht="22.5" customHeight="1">
      <c r="A242" s="11"/>
      <c r="B242" s="12"/>
      <c r="C242" s="14">
        <v>4210</v>
      </c>
      <c r="D242" s="15" t="s">
        <v>13</v>
      </c>
      <c r="E242" s="31">
        <f>900+1000</f>
        <v>1900</v>
      </c>
    </row>
    <row r="243" spans="1:5" ht="22.5" customHeight="1">
      <c r="A243" s="25"/>
      <c r="B243" s="81"/>
      <c r="C243" s="14">
        <v>4300</v>
      </c>
      <c r="D243" s="15" t="s">
        <v>10</v>
      </c>
      <c r="E243" s="31">
        <f>150+500</f>
        <v>650</v>
      </c>
    </row>
    <row r="244" spans="1:5" ht="22.5" customHeight="1">
      <c r="A244" s="35">
        <v>754</v>
      </c>
      <c r="B244" s="156" t="s">
        <v>130</v>
      </c>
      <c r="C244" s="157"/>
      <c r="D244" s="158"/>
      <c r="E244" s="82">
        <f>E245</f>
        <v>25000</v>
      </c>
    </row>
    <row r="245" spans="1:5" ht="22.5" customHeight="1">
      <c r="A245" s="11"/>
      <c r="B245" s="12">
        <v>75411</v>
      </c>
      <c r="C245" s="140" t="s">
        <v>131</v>
      </c>
      <c r="D245" s="141"/>
      <c r="E245" s="42">
        <f>E246</f>
        <v>25000</v>
      </c>
    </row>
    <row r="246" spans="1:5" ht="22.5" customHeight="1">
      <c r="A246" s="11"/>
      <c r="B246" s="20"/>
      <c r="C246" s="14">
        <v>2300</v>
      </c>
      <c r="D246" s="15" t="s">
        <v>89</v>
      </c>
      <c r="E246" s="43">
        <v>25000</v>
      </c>
    </row>
    <row r="247" spans="1:5" ht="22.5" customHeight="1">
      <c r="A247" s="35">
        <v>900</v>
      </c>
      <c r="B247" s="129" t="s">
        <v>132</v>
      </c>
      <c r="C247" s="130"/>
      <c r="D247" s="131"/>
      <c r="E247" s="40">
        <f>SUM(E248,E251,E253)</f>
        <v>8291300</v>
      </c>
    </row>
    <row r="248" spans="1:5" ht="22.5" customHeight="1">
      <c r="A248" s="11"/>
      <c r="B248" s="12">
        <v>90006</v>
      </c>
      <c r="C248" s="140" t="s">
        <v>133</v>
      </c>
      <c r="D248" s="141"/>
      <c r="E248" s="42">
        <f>SUM(E249:E250)</f>
        <v>8118400</v>
      </c>
    </row>
    <row r="249" spans="1:5" ht="22.5" customHeight="1">
      <c r="A249" s="11"/>
      <c r="B249" s="83"/>
      <c r="C249" s="14">
        <v>4300</v>
      </c>
      <c r="D249" s="51" t="s">
        <v>134</v>
      </c>
      <c r="E249" s="43">
        <f>5620000+1484900+1000000</f>
        <v>8104900</v>
      </c>
    </row>
    <row r="250" spans="1:5" ht="22.5" customHeight="1">
      <c r="A250" s="11"/>
      <c r="B250" s="83"/>
      <c r="C250" s="14">
        <v>4390</v>
      </c>
      <c r="D250" s="51" t="s">
        <v>135</v>
      </c>
      <c r="E250" s="43">
        <f>15000-1500</f>
        <v>13500</v>
      </c>
    </row>
    <row r="251" spans="1:5" ht="22.5" customHeight="1">
      <c r="A251" s="41"/>
      <c r="B251" s="12">
        <v>90007</v>
      </c>
      <c r="C251" s="140" t="s">
        <v>136</v>
      </c>
      <c r="D251" s="141"/>
      <c r="E251" s="42">
        <f>E252</f>
        <v>4000</v>
      </c>
    </row>
    <row r="252" spans="1:5" ht="22.5" customHeight="1">
      <c r="A252" s="41"/>
      <c r="B252" s="83"/>
      <c r="C252" s="14">
        <v>4300</v>
      </c>
      <c r="D252" s="15" t="s">
        <v>10</v>
      </c>
      <c r="E252" s="43">
        <v>4000</v>
      </c>
    </row>
    <row r="253" spans="1:5" ht="22.5" customHeight="1">
      <c r="A253" s="41"/>
      <c r="B253" s="12">
        <v>90019</v>
      </c>
      <c r="C253" s="140" t="s">
        <v>137</v>
      </c>
      <c r="D253" s="141"/>
      <c r="E253" s="42">
        <f>SUM(E254:E258)</f>
        <v>168900</v>
      </c>
    </row>
    <row r="254" spans="1:5" ht="33.75" customHeight="1">
      <c r="A254" s="41"/>
      <c r="B254" s="12"/>
      <c r="C254" s="38">
        <v>2710</v>
      </c>
      <c r="D254" s="72" t="s">
        <v>120</v>
      </c>
      <c r="E254" s="43">
        <v>45000</v>
      </c>
    </row>
    <row r="255" spans="1:5" ht="22.5" customHeight="1">
      <c r="A255" s="41"/>
      <c r="B255" s="14"/>
      <c r="C255" s="14">
        <v>4190</v>
      </c>
      <c r="D255" s="15" t="s">
        <v>122</v>
      </c>
      <c r="E255" s="43">
        <v>14000</v>
      </c>
    </row>
    <row r="256" spans="1:5" ht="22.5" customHeight="1">
      <c r="A256" s="41"/>
      <c r="B256" s="14"/>
      <c r="C256" s="14">
        <v>4210</v>
      </c>
      <c r="D256" s="15" t="s">
        <v>13</v>
      </c>
      <c r="E256" s="43">
        <v>100</v>
      </c>
    </row>
    <row r="257" spans="1:6" ht="22.5" customHeight="1">
      <c r="A257" s="41"/>
      <c r="B257" s="14"/>
      <c r="C257" s="14">
        <v>4220</v>
      </c>
      <c r="D257" s="15" t="s">
        <v>67</v>
      </c>
      <c r="E257" s="43">
        <v>800</v>
      </c>
    </row>
    <row r="258" spans="1:6" ht="22.5" customHeight="1">
      <c r="A258" s="41"/>
      <c r="B258" s="14"/>
      <c r="C258" s="14">
        <v>4300</v>
      </c>
      <c r="D258" s="15" t="s">
        <v>10</v>
      </c>
      <c r="E258" s="43">
        <f>500000-400000+9000</f>
        <v>109000</v>
      </c>
    </row>
    <row r="259" spans="1:6" ht="22.5" customHeight="1">
      <c r="A259" s="145" t="s">
        <v>138</v>
      </c>
      <c r="B259" s="146"/>
      <c r="C259" s="146"/>
      <c r="D259" s="146"/>
      <c r="E259" s="39">
        <f>E260+E263</f>
        <v>3051205</v>
      </c>
    </row>
    <row r="260" spans="1:6" s="77" customFormat="1" ht="22.5" customHeight="1">
      <c r="A260" s="23">
        <v>600</v>
      </c>
      <c r="B260" s="142" t="s">
        <v>139</v>
      </c>
      <c r="C260" s="143"/>
      <c r="D260" s="144"/>
      <c r="E260" s="57">
        <f>E262</f>
        <v>605</v>
      </c>
    </row>
    <row r="261" spans="1:6" s="77" customFormat="1" ht="22.5" customHeight="1">
      <c r="A261" s="23"/>
      <c r="B261" s="84">
        <v>60095</v>
      </c>
      <c r="C261" s="138" t="s">
        <v>9</v>
      </c>
      <c r="D261" s="139"/>
      <c r="E261" s="42">
        <f>E262</f>
        <v>605</v>
      </c>
    </row>
    <row r="262" spans="1:6" s="77" customFormat="1" ht="22.5" customHeight="1">
      <c r="A262" s="23"/>
      <c r="B262" s="85"/>
      <c r="C262" s="32">
        <v>4010</v>
      </c>
      <c r="D262" s="86" t="s">
        <v>30</v>
      </c>
      <c r="E262" s="58">
        <v>605</v>
      </c>
      <c r="F262" s="80"/>
    </row>
    <row r="263" spans="1:6" ht="22.5" customHeight="1">
      <c r="A263" s="17">
        <v>750</v>
      </c>
      <c r="B263" s="129" t="s">
        <v>11</v>
      </c>
      <c r="C263" s="130"/>
      <c r="D263" s="131"/>
      <c r="E263" s="50">
        <f>E264</f>
        <v>3050600</v>
      </c>
    </row>
    <row r="264" spans="1:6" ht="22.5" customHeight="1">
      <c r="A264" s="11"/>
      <c r="B264" s="12">
        <v>75020</v>
      </c>
      <c r="C264" s="140" t="s">
        <v>12</v>
      </c>
      <c r="D264" s="141"/>
      <c r="E264" s="13">
        <f>SUM(E265:E269)</f>
        <v>3050600</v>
      </c>
    </row>
    <row r="265" spans="1:6" ht="22.5" customHeight="1">
      <c r="A265" s="11"/>
      <c r="B265" s="12"/>
      <c r="C265" s="14">
        <v>4170</v>
      </c>
      <c r="D265" s="51" t="s">
        <v>37</v>
      </c>
      <c r="E265" s="31">
        <v>267</v>
      </c>
    </row>
    <row r="266" spans="1:6" ht="22.5" customHeight="1">
      <c r="A266" s="11"/>
      <c r="B266" s="20"/>
      <c r="C266" s="14">
        <v>4210</v>
      </c>
      <c r="D266" s="15" t="s">
        <v>13</v>
      </c>
      <c r="E266" s="58">
        <f>1809450-2000+500000-500</f>
        <v>2306950</v>
      </c>
    </row>
    <row r="267" spans="1:6" ht="22.5" customHeight="1">
      <c r="A267" s="11"/>
      <c r="B267" s="20"/>
      <c r="C267" s="14">
        <v>4300</v>
      </c>
      <c r="D267" s="15" t="s">
        <v>10</v>
      </c>
      <c r="E267" s="43">
        <f>630550+20000+83000+500</f>
        <v>734050</v>
      </c>
    </row>
    <row r="268" spans="1:6" ht="22.5" customHeight="1">
      <c r="A268" s="11"/>
      <c r="B268" s="20"/>
      <c r="C268" s="14">
        <v>4380</v>
      </c>
      <c r="D268" s="15" t="s">
        <v>140</v>
      </c>
      <c r="E268" s="31">
        <f>5000-267+2000+2000</f>
        <v>8733</v>
      </c>
    </row>
    <row r="269" spans="1:6" ht="22.5" customHeight="1">
      <c r="A269" s="11"/>
      <c r="B269" s="20"/>
      <c r="C269" s="14">
        <v>4610</v>
      </c>
      <c r="D269" s="15" t="s">
        <v>141</v>
      </c>
      <c r="E269" s="31">
        <v>600</v>
      </c>
    </row>
    <row r="270" spans="1:6" ht="22.5" customHeight="1">
      <c r="A270" s="152" t="s">
        <v>142</v>
      </c>
      <c r="B270" s="153"/>
      <c r="C270" s="153"/>
      <c r="D270" s="153"/>
      <c r="E270" s="22">
        <f>E271+E274+E295</f>
        <v>1941898.5</v>
      </c>
    </row>
    <row r="271" spans="1:6" ht="22.5" customHeight="1">
      <c r="A271" s="74" t="s">
        <v>116</v>
      </c>
      <c r="B271" s="129" t="s">
        <v>117</v>
      </c>
      <c r="C271" s="130"/>
      <c r="D271" s="131"/>
      <c r="E271" s="50">
        <f>E273</f>
        <v>21398.5</v>
      </c>
    </row>
    <row r="272" spans="1:6" ht="22.5" customHeight="1">
      <c r="A272" s="48"/>
      <c r="B272" s="87" t="s">
        <v>143</v>
      </c>
      <c r="C272" s="140" t="s">
        <v>144</v>
      </c>
      <c r="D272" s="141"/>
      <c r="E272" s="13">
        <f>E273</f>
        <v>21398.5</v>
      </c>
    </row>
    <row r="273" spans="1:6" ht="22.5" customHeight="1">
      <c r="A273" s="41"/>
      <c r="B273" s="14"/>
      <c r="C273" s="14">
        <v>4300</v>
      </c>
      <c r="D273" s="15" t="s">
        <v>43</v>
      </c>
      <c r="E273" s="31">
        <f>80000-40000-18601.5</f>
        <v>21398.5</v>
      </c>
      <c r="F273" s="88"/>
    </row>
    <row r="274" spans="1:6" ht="22.5" customHeight="1">
      <c r="A274" s="17">
        <v>700</v>
      </c>
      <c r="B274" s="135" t="s">
        <v>53</v>
      </c>
      <c r="C274" s="136"/>
      <c r="D274" s="137"/>
      <c r="E274" s="57">
        <f>E275</f>
        <v>1490500</v>
      </c>
    </row>
    <row r="275" spans="1:6" ht="22.5" customHeight="1">
      <c r="A275" s="11"/>
      <c r="B275" s="26">
        <v>70005</v>
      </c>
      <c r="C275" s="154" t="s">
        <v>54</v>
      </c>
      <c r="D275" s="155"/>
      <c r="E275" s="42">
        <f>SUM(E276:E294)</f>
        <v>1490500</v>
      </c>
    </row>
    <row r="276" spans="1:6" ht="22.5" customHeight="1">
      <c r="A276" s="11"/>
      <c r="B276" s="26"/>
      <c r="C276" s="14">
        <v>4260</v>
      </c>
      <c r="D276" s="15" t="s">
        <v>68</v>
      </c>
      <c r="E276" s="31">
        <v>20000</v>
      </c>
    </row>
    <row r="277" spans="1:6" ht="22.5" customHeight="1">
      <c r="A277" s="11"/>
      <c r="B277" s="20"/>
      <c r="C277" s="14">
        <v>4300</v>
      </c>
      <c r="D277" s="15" t="s">
        <v>10</v>
      </c>
      <c r="E277" s="31">
        <f>30000-3000+4000</f>
        <v>31000</v>
      </c>
    </row>
    <row r="278" spans="1:6" ht="22.5" customHeight="1">
      <c r="A278" s="11"/>
      <c r="B278" s="20"/>
      <c r="C278" s="14">
        <v>4300</v>
      </c>
      <c r="D278" s="15" t="s">
        <v>43</v>
      </c>
      <c r="E278" s="31">
        <f>90000-20000-6000-384-100+1250-1600</f>
        <v>63166</v>
      </c>
    </row>
    <row r="279" spans="1:6" ht="22.5" customHeight="1">
      <c r="A279" s="11"/>
      <c r="B279" s="20"/>
      <c r="C279" s="14">
        <v>4390</v>
      </c>
      <c r="D279" s="15" t="s">
        <v>16</v>
      </c>
      <c r="E279" s="31">
        <f>30000-20000</f>
        <v>10000</v>
      </c>
    </row>
    <row r="280" spans="1:6" ht="22.5" customHeight="1">
      <c r="A280" s="11"/>
      <c r="B280" s="20"/>
      <c r="C280" s="14">
        <v>4390</v>
      </c>
      <c r="D280" s="15" t="s">
        <v>145</v>
      </c>
      <c r="E280" s="31">
        <f>54800-2082+80000+9912+4600+1600</f>
        <v>148830</v>
      </c>
    </row>
    <row r="281" spans="1:6" ht="22.5" customHeight="1">
      <c r="A281" s="11"/>
      <c r="B281" s="20"/>
      <c r="C281" s="14">
        <v>4430</v>
      </c>
      <c r="D281" s="15" t="s">
        <v>17</v>
      </c>
      <c r="E281" s="31">
        <v>45000</v>
      </c>
    </row>
    <row r="282" spans="1:6" ht="22.5" customHeight="1">
      <c r="A282" s="11"/>
      <c r="B282" s="20"/>
      <c r="C282" s="14">
        <v>4480</v>
      </c>
      <c r="D282" s="15" t="s">
        <v>146</v>
      </c>
      <c r="E282" s="31">
        <f>3500+3000</f>
        <v>6500</v>
      </c>
    </row>
    <row r="283" spans="1:6" ht="22.5" customHeight="1">
      <c r="A283" s="11"/>
      <c r="B283" s="20"/>
      <c r="C283" s="14">
        <v>4480</v>
      </c>
      <c r="D283" s="15" t="s">
        <v>147</v>
      </c>
      <c r="E283" s="31">
        <v>29200</v>
      </c>
    </row>
    <row r="284" spans="1:6" ht="22.5" customHeight="1">
      <c r="A284" s="11"/>
      <c r="B284" s="20"/>
      <c r="C284" s="14">
        <v>4500</v>
      </c>
      <c r="D284" s="15" t="s">
        <v>148</v>
      </c>
      <c r="E284" s="43">
        <f>2000-1307+10</f>
        <v>703</v>
      </c>
    </row>
    <row r="285" spans="1:6" ht="22.5" customHeight="1">
      <c r="A285" s="11"/>
      <c r="B285" s="20"/>
      <c r="C285" s="14">
        <v>4500</v>
      </c>
      <c r="D285" s="15" t="s">
        <v>149</v>
      </c>
      <c r="E285" s="43">
        <f>7000-2280-100</f>
        <v>4620</v>
      </c>
    </row>
    <row r="286" spans="1:6" ht="22.5" customHeight="1">
      <c r="A286" s="11"/>
      <c r="B286" s="20"/>
      <c r="C286" s="14">
        <v>4520</v>
      </c>
      <c r="D286" s="37" t="s">
        <v>150</v>
      </c>
      <c r="E286" s="43">
        <f>2280+100</f>
        <v>2380</v>
      </c>
    </row>
    <row r="287" spans="1:6" ht="22.5" customHeight="1">
      <c r="A287" s="11"/>
      <c r="B287" s="20"/>
      <c r="C287" s="14">
        <v>4520</v>
      </c>
      <c r="D287" s="37" t="s">
        <v>151</v>
      </c>
      <c r="E287" s="43">
        <f>82+384+100-10</f>
        <v>556</v>
      </c>
    </row>
    <row r="288" spans="1:6" ht="22.5" customHeight="1">
      <c r="A288" s="11"/>
      <c r="B288" s="20"/>
      <c r="C288" s="14">
        <v>4580</v>
      </c>
      <c r="D288" s="37" t="s">
        <v>152</v>
      </c>
      <c r="E288" s="43">
        <f>2000-131</f>
        <v>1869</v>
      </c>
    </row>
    <row r="289" spans="1:5" ht="22.5" customHeight="1">
      <c r="A289" s="11"/>
      <c r="B289" s="20"/>
      <c r="C289" s="14">
        <v>4590</v>
      </c>
      <c r="D289" s="15" t="s">
        <v>153</v>
      </c>
      <c r="E289" s="43">
        <f>30000+10000-5164</f>
        <v>34836</v>
      </c>
    </row>
    <row r="290" spans="1:5" ht="22.5" customHeight="1">
      <c r="A290" s="11"/>
      <c r="B290" s="20"/>
      <c r="C290" s="14">
        <v>4590</v>
      </c>
      <c r="D290" s="15" t="s">
        <v>154</v>
      </c>
      <c r="E290" s="43">
        <f>600000-100000+40000</f>
        <v>540000</v>
      </c>
    </row>
    <row r="291" spans="1:5" ht="24" customHeight="1">
      <c r="A291" s="11"/>
      <c r="B291" s="20"/>
      <c r="C291" s="38">
        <v>4600</v>
      </c>
      <c r="D291" s="15" t="s">
        <v>74</v>
      </c>
      <c r="E291" s="43">
        <f>30000+100000</f>
        <v>130000</v>
      </c>
    </row>
    <row r="292" spans="1:5" ht="22.5" customHeight="1">
      <c r="A292" s="11"/>
      <c r="B292" s="20"/>
      <c r="C292" s="14">
        <v>4610</v>
      </c>
      <c r="D292" s="15" t="s">
        <v>155</v>
      </c>
      <c r="E292" s="43">
        <f>5000+10000-2474-686</f>
        <v>11840</v>
      </c>
    </row>
    <row r="293" spans="1:5" ht="22.5" customHeight="1">
      <c r="A293" s="11"/>
      <c r="B293" s="20"/>
      <c r="C293" s="14">
        <v>4610</v>
      </c>
      <c r="D293" s="15" t="s">
        <v>141</v>
      </c>
      <c r="E293" s="43">
        <f>30000-20000</f>
        <v>10000</v>
      </c>
    </row>
    <row r="294" spans="1:5" ht="22.5" customHeight="1">
      <c r="A294" s="11"/>
      <c r="B294" s="20"/>
      <c r="C294" s="14">
        <v>6060</v>
      </c>
      <c r="D294" s="15" t="s">
        <v>19</v>
      </c>
      <c r="E294" s="43">
        <v>400000</v>
      </c>
    </row>
    <row r="295" spans="1:5" ht="22.5" customHeight="1">
      <c r="A295" s="35">
        <v>710</v>
      </c>
      <c r="B295" s="123" t="s">
        <v>60</v>
      </c>
      <c r="C295" s="124"/>
      <c r="D295" s="125"/>
      <c r="E295" s="50">
        <f>E296</f>
        <v>430000</v>
      </c>
    </row>
    <row r="296" spans="1:5" ht="22.5" customHeight="1">
      <c r="A296" s="48"/>
      <c r="B296" s="12">
        <v>71012</v>
      </c>
      <c r="C296" s="140" t="s">
        <v>61</v>
      </c>
      <c r="D296" s="141"/>
      <c r="E296" s="13">
        <f>E297+E298</f>
        <v>430000</v>
      </c>
    </row>
    <row r="297" spans="1:5" ht="22.5" customHeight="1">
      <c r="A297" s="41"/>
      <c r="B297" s="14"/>
      <c r="C297" s="14">
        <v>4300</v>
      </c>
      <c r="D297" s="15" t="s">
        <v>43</v>
      </c>
      <c r="E297" s="31">
        <f>70000+120000</f>
        <v>190000</v>
      </c>
    </row>
    <row r="298" spans="1:5" ht="22.5" customHeight="1">
      <c r="A298" s="41"/>
      <c r="B298" s="14"/>
      <c r="C298" s="14">
        <v>4300</v>
      </c>
      <c r="D298" s="15" t="s">
        <v>134</v>
      </c>
      <c r="E298" s="31">
        <v>240000</v>
      </c>
    </row>
    <row r="299" spans="1:5" ht="22.5" customHeight="1">
      <c r="A299" s="145" t="s">
        <v>156</v>
      </c>
      <c r="B299" s="146"/>
      <c r="C299" s="146"/>
      <c r="D299" s="146"/>
      <c r="E299" s="89">
        <f>E300+E314</f>
        <v>306000</v>
      </c>
    </row>
    <row r="300" spans="1:5" ht="22.5" customHeight="1">
      <c r="A300" s="35">
        <v>750</v>
      </c>
      <c r="B300" s="129" t="s">
        <v>11</v>
      </c>
      <c r="C300" s="130"/>
      <c r="D300" s="131"/>
      <c r="E300" s="50">
        <f>E301+E304</f>
        <v>303662</v>
      </c>
    </row>
    <row r="301" spans="1:5" ht="22.5" customHeight="1">
      <c r="A301" s="90"/>
      <c r="B301" s="12">
        <v>75020</v>
      </c>
      <c r="C301" s="132" t="s">
        <v>12</v>
      </c>
      <c r="D301" s="132"/>
      <c r="E301" s="13">
        <f>E302+E303</f>
        <v>8000</v>
      </c>
    </row>
    <row r="302" spans="1:5" ht="22.5" customHeight="1">
      <c r="A302" s="90"/>
      <c r="B302" s="20"/>
      <c r="C302" s="14">
        <v>4300</v>
      </c>
      <c r="D302" s="15" t="s">
        <v>10</v>
      </c>
      <c r="E302" s="58">
        <v>8000</v>
      </c>
    </row>
    <row r="303" spans="1:5" ht="22.5" customHeight="1">
      <c r="A303" s="90"/>
      <c r="B303" s="20"/>
      <c r="C303" s="14">
        <v>4420</v>
      </c>
      <c r="D303" s="15" t="s">
        <v>110</v>
      </c>
      <c r="E303" s="43">
        <f>10000-10000</f>
        <v>0</v>
      </c>
    </row>
    <row r="304" spans="1:5" ht="22.5" customHeight="1">
      <c r="A304" s="90"/>
      <c r="B304" s="12">
        <v>75075</v>
      </c>
      <c r="C304" s="140" t="s">
        <v>102</v>
      </c>
      <c r="D304" s="141"/>
      <c r="E304" s="42">
        <f>SUMPRODUCT(E305:E313)</f>
        <v>295662</v>
      </c>
    </row>
    <row r="305" spans="1:6" ht="22.5" customHeight="1">
      <c r="A305" s="90"/>
      <c r="B305" s="12"/>
      <c r="C305" s="14">
        <v>4090</v>
      </c>
      <c r="D305" s="15" t="s">
        <v>157</v>
      </c>
      <c r="E305" s="31">
        <v>1190</v>
      </c>
    </row>
    <row r="306" spans="1:6" ht="22.5" customHeight="1">
      <c r="A306" s="90"/>
      <c r="B306" s="20"/>
      <c r="C306" s="14">
        <v>4110</v>
      </c>
      <c r="D306" s="15" t="s">
        <v>33</v>
      </c>
      <c r="E306" s="31">
        <v>2000</v>
      </c>
    </row>
    <row r="307" spans="1:6" ht="22.5" customHeight="1">
      <c r="A307" s="90"/>
      <c r="B307" s="20"/>
      <c r="C307" s="14">
        <v>4170</v>
      </c>
      <c r="D307" s="15" t="s">
        <v>37</v>
      </c>
      <c r="E307" s="31">
        <v>14000</v>
      </c>
    </row>
    <row r="308" spans="1:6" ht="22.5" customHeight="1">
      <c r="A308" s="90"/>
      <c r="B308" s="20"/>
      <c r="C308" s="14">
        <v>4190</v>
      </c>
      <c r="D308" s="15" t="s">
        <v>122</v>
      </c>
      <c r="E308" s="31">
        <f>8000+16000</f>
        <v>24000</v>
      </c>
    </row>
    <row r="309" spans="1:6" ht="22.5" customHeight="1">
      <c r="A309" s="90"/>
      <c r="B309" s="20"/>
      <c r="C309" s="14">
        <v>4210</v>
      </c>
      <c r="D309" s="15" t="s">
        <v>13</v>
      </c>
      <c r="E309" s="31">
        <f>73000-2338-1190-38000</f>
        <v>31472</v>
      </c>
    </row>
    <row r="310" spans="1:6" ht="22.5" customHeight="1">
      <c r="A310" s="90"/>
      <c r="B310" s="20"/>
      <c r="C310" s="14">
        <v>4220</v>
      </c>
      <c r="D310" s="15" t="s">
        <v>67</v>
      </c>
      <c r="E310" s="31">
        <f>16000-16000</f>
        <v>0</v>
      </c>
    </row>
    <row r="311" spans="1:6" ht="22.5" customHeight="1">
      <c r="A311" s="90"/>
      <c r="B311" s="20"/>
      <c r="C311" s="14">
        <v>4300</v>
      </c>
      <c r="D311" s="15" t="s">
        <v>10</v>
      </c>
      <c r="E311" s="52">
        <f>174000-861+48000</f>
        <v>221139</v>
      </c>
    </row>
    <row r="312" spans="1:6" ht="22.5" customHeight="1">
      <c r="A312" s="90"/>
      <c r="B312" s="20"/>
      <c r="C312" s="14">
        <v>4380</v>
      </c>
      <c r="D312" s="15" t="s">
        <v>109</v>
      </c>
      <c r="E312" s="43">
        <v>861</v>
      </c>
    </row>
    <row r="313" spans="1:6" ht="22.5" customHeight="1">
      <c r="A313" s="90"/>
      <c r="B313" s="20"/>
      <c r="C313" s="14">
        <v>4430</v>
      </c>
      <c r="D313" s="15" t="s">
        <v>17</v>
      </c>
      <c r="E313" s="43">
        <v>1000</v>
      </c>
    </row>
    <row r="314" spans="1:6" ht="22.5" customHeight="1">
      <c r="A314" s="35">
        <v>921</v>
      </c>
      <c r="B314" s="129" t="s">
        <v>158</v>
      </c>
      <c r="C314" s="130"/>
      <c r="D314" s="131"/>
      <c r="E314" s="50">
        <f>E315</f>
        <v>2338</v>
      </c>
    </row>
    <row r="315" spans="1:6" ht="22.5" customHeight="1">
      <c r="A315" s="90"/>
      <c r="B315" s="12">
        <v>92195</v>
      </c>
      <c r="C315" s="132" t="s">
        <v>9</v>
      </c>
      <c r="D315" s="132"/>
      <c r="E315" s="13">
        <f>E316</f>
        <v>2338</v>
      </c>
    </row>
    <row r="316" spans="1:6" ht="36" customHeight="1">
      <c r="A316" s="90"/>
      <c r="B316" s="20"/>
      <c r="C316" s="14">
        <v>2320</v>
      </c>
      <c r="D316" s="66" t="s">
        <v>159</v>
      </c>
      <c r="E316" s="58">
        <v>2338</v>
      </c>
    </row>
    <row r="317" spans="1:6" ht="22.5" customHeight="1">
      <c r="A317" s="149" t="s">
        <v>160</v>
      </c>
      <c r="B317" s="150"/>
      <c r="C317" s="150"/>
      <c r="D317" s="151"/>
      <c r="E317" s="89">
        <f>E318+E332+E396+E413+E432+E328</f>
        <v>5465554</v>
      </c>
    </row>
    <row r="318" spans="1:6" ht="22.5" customHeight="1">
      <c r="A318" s="35">
        <v>630</v>
      </c>
      <c r="B318" s="129" t="s">
        <v>161</v>
      </c>
      <c r="C318" s="130"/>
      <c r="D318" s="131"/>
      <c r="E318" s="91">
        <f>E319</f>
        <v>101500</v>
      </c>
    </row>
    <row r="319" spans="1:6" ht="22.5" customHeight="1">
      <c r="A319" s="48"/>
      <c r="B319" s="12">
        <v>63003</v>
      </c>
      <c r="C319" s="140" t="s">
        <v>162</v>
      </c>
      <c r="D319" s="141"/>
      <c r="E319" s="49">
        <f>SUM(E320:E327)</f>
        <v>101500</v>
      </c>
    </row>
    <row r="320" spans="1:6" ht="49.5" customHeight="1">
      <c r="A320" s="48"/>
      <c r="B320" s="14"/>
      <c r="C320" s="38">
        <v>2360</v>
      </c>
      <c r="D320" s="15" t="s">
        <v>163</v>
      </c>
      <c r="E320" s="44">
        <v>13500</v>
      </c>
      <c r="F320" s="80"/>
    </row>
    <row r="321" spans="1:5" ht="22.5" customHeight="1">
      <c r="A321" s="48"/>
      <c r="B321" s="14"/>
      <c r="C321" s="14">
        <v>4110</v>
      </c>
      <c r="D321" s="15" t="s">
        <v>33</v>
      </c>
      <c r="E321" s="43">
        <v>500</v>
      </c>
    </row>
    <row r="322" spans="1:5" ht="22.5" customHeight="1">
      <c r="A322" s="48"/>
      <c r="B322" s="92"/>
      <c r="C322" s="14">
        <v>4170</v>
      </c>
      <c r="D322" s="15" t="s">
        <v>37</v>
      </c>
      <c r="E322" s="43">
        <v>2000</v>
      </c>
    </row>
    <row r="323" spans="1:5" ht="22.5" customHeight="1">
      <c r="A323" s="48"/>
      <c r="B323" s="92"/>
      <c r="C323" s="14">
        <v>4190</v>
      </c>
      <c r="D323" s="15" t="s">
        <v>122</v>
      </c>
      <c r="E323" s="43">
        <f>9000-5000+2000</f>
        <v>6000</v>
      </c>
    </row>
    <row r="324" spans="1:5" ht="22.5" customHeight="1">
      <c r="A324" s="41"/>
      <c r="B324" s="14"/>
      <c r="C324" s="14">
        <v>4210</v>
      </c>
      <c r="D324" s="15" t="s">
        <v>13</v>
      </c>
      <c r="E324" s="43">
        <f>5000-2000</f>
        <v>3000</v>
      </c>
    </row>
    <row r="325" spans="1:5" ht="22.5" customHeight="1">
      <c r="A325" s="41"/>
      <c r="B325" s="14"/>
      <c r="C325" s="14">
        <v>4220</v>
      </c>
      <c r="D325" s="15" t="s">
        <v>67</v>
      </c>
      <c r="E325" s="43">
        <f>1500-1500</f>
        <v>0</v>
      </c>
    </row>
    <row r="326" spans="1:5" ht="22.5" customHeight="1">
      <c r="A326" s="41"/>
      <c r="B326" s="14"/>
      <c r="C326" s="14">
        <v>4300</v>
      </c>
      <c r="D326" s="15" t="s">
        <v>10</v>
      </c>
      <c r="E326" s="43">
        <f>40000-2000+3500</f>
        <v>41500</v>
      </c>
    </row>
    <row r="327" spans="1:5" ht="22.5" customHeight="1">
      <c r="A327" s="11"/>
      <c r="B327" s="93"/>
      <c r="C327" s="14">
        <v>4430</v>
      </c>
      <c r="D327" s="15" t="s">
        <v>17</v>
      </c>
      <c r="E327" s="43">
        <v>35000</v>
      </c>
    </row>
    <row r="328" spans="1:5" ht="22.5" customHeight="1">
      <c r="A328" s="35">
        <v>750</v>
      </c>
      <c r="B328" s="129" t="s">
        <v>11</v>
      </c>
      <c r="C328" s="130"/>
      <c r="D328" s="131"/>
      <c r="E328" s="50">
        <f>E329</f>
        <v>2000</v>
      </c>
    </row>
    <row r="329" spans="1:5" ht="22.5" customHeight="1">
      <c r="A329" s="35"/>
      <c r="B329" s="94">
        <v>75020</v>
      </c>
      <c r="C329" s="147" t="s">
        <v>12</v>
      </c>
      <c r="D329" s="148"/>
      <c r="E329" s="13">
        <f>E330+E331</f>
        <v>2000</v>
      </c>
    </row>
    <row r="330" spans="1:5" ht="22.5" customHeight="1">
      <c r="A330" s="35"/>
      <c r="B330" s="95"/>
      <c r="C330" s="14">
        <v>4210</v>
      </c>
      <c r="D330" s="72" t="s">
        <v>41</v>
      </c>
      <c r="E330" s="31">
        <v>1000</v>
      </c>
    </row>
    <row r="331" spans="1:5" ht="22.5" customHeight="1">
      <c r="A331" s="35"/>
      <c r="B331" s="95"/>
      <c r="C331" s="14">
        <v>4300</v>
      </c>
      <c r="D331" s="72" t="s">
        <v>134</v>
      </c>
      <c r="E331" s="31">
        <v>1000</v>
      </c>
    </row>
    <row r="332" spans="1:5" ht="22.5" customHeight="1">
      <c r="A332" s="35">
        <v>801</v>
      </c>
      <c r="B332" s="129" t="s">
        <v>103</v>
      </c>
      <c r="C332" s="130"/>
      <c r="D332" s="131"/>
      <c r="E332" s="50">
        <f>E333+E335+E353+E367+E373+E376+E387+E385+E369+E371</f>
        <v>1753642</v>
      </c>
    </row>
    <row r="333" spans="1:5" ht="22.5" customHeight="1">
      <c r="A333" s="35"/>
      <c r="B333" s="94">
        <v>80102</v>
      </c>
      <c r="C333" s="147" t="s">
        <v>164</v>
      </c>
      <c r="D333" s="148"/>
      <c r="E333" s="13">
        <f>E334</f>
        <v>280000</v>
      </c>
    </row>
    <row r="334" spans="1:5" ht="22.5" customHeight="1">
      <c r="A334" s="35"/>
      <c r="B334" s="95"/>
      <c r="C334" s="14">
        <v>2540</v>
      </c>
      <c r="D334" s="72" t="s">
        <v>165</v>
      </c>
      <c r="E334" s="31">
        <f>290000+30000-40000</f>
        <v>280000</v>
      </c>
    </row>
    <row r="335" spans="1:5" ht="22.5" customHeight="1">
      <c r="A335" s="35"/>
      <c r="B335" s="94">
        <v>80115</v>
      </c>
      <c r="C335" s="140" t="s">
        <v>166</v>
      </c>
      <c r="D335" s="141"/>
      <c r="E335" s="13">
        <f>SUM(E336:E352)</f>
        <v>492400</v>
      </c>
    </row>
    <row r="336" spans="1:5" ht="31.5">
      <c r="A336" s="35"/>
      <c r="B336" s="95"/>
      <c r="C336" s="38">
        <v>2590</v>
      </c>
      <c r="D336" s="51" t="s">
        <v>167</v>
      </c>
      <c r="E336" s="31">
        <f>1600000-42600-1000000-65000</f>
        <v>492400</v>
      </c>
    </row>
    <row r="337" spans="1:5" ht="22.5" customHeight="1">
      <c r="A337" s="35"/>
      <c r="B337" s="95"/>
      <c r="C337" s="38">
        <v>3020</v>
      </c>
      <c r="D337" s="96" t="s">
        <v>64</v>
      </c>
      <c r="E337" s="31">
        <f>9300-9300</f>
        <v>0</v>
      </c>
    </row>
    <row r="338" spans="1:5" ht="21" customHeight="1">
      <c r="A338" s="35"/>
      <c r="B338" s="95"/>
      <c r="C338" s="38">
        <v>4010</v>
      </c>
      <c r="D338" s="96" t="s">
        <v>29</v>
      </c>
      <c r="E338" s="31">
        <f>230000-230000</f>
        <v>0</v>
      </c>
    </row>
    <row r="339" spans="1:5" ht="22.5" customHeight="1">
      <c r="A339" s="35"/>
      <c r="B339" s="95"/>
      <c r="C339" s="38">
        <v>4110</v>
      </c>
      <c r="D339" s="96" t="s">
        <v>33</v>
      </c>
      <c r="E339" s="31">
        <f>62000-62000</f>
        <v>0</v>
      </c>
    </row>
    <row r="340" spans="1:5" ht="21" customHeight="1">
      <c r="A340" s="35"/>
      <c r="B340" s="95"/>
      <c r="C340" s="38">
        <v>4120</v>
      </c>
      <c r="D340" s="96" t="s">
        <v>168</v>
      </c>
      <c r="E340" s="31">
        <f>7300-7300</f>
        <v>0</v>
      </c>
    </row>
    <row r="341" spans="1:5" ht="21.75" customHeight="1">
      <c r="A341" s="35"/>
      <c r="B341" s="95"/>
      <c r="C341" s="38">
        <v>4210</v>
      </c>
      <c r="D341" s="96" t="s">
        <v>13</v>
      </c>
      <c r="E341" s="31">
        <f>1100-1100</f>
        <v>0</v>
      </c>
    </row>
    <row r="342" spans="1:5" ht="21.75" customHeight="1">
      <c r="A342" s="35"/>
      <c r="B342" s="95"/>
      <c r="C342" s="38">
        <v>4240</v>
      </c>
      <c r="D342" s="96" t="s">
        <v>107</v>
      </c>
      <c r="E342" s="31">
        <f>1000-1000</f>
        <v>0</v>
      </c>
    </row>
    <row r="343" spans="1:5" ht="22.5" customHeight="1">
      <c r="A343" s="35"/>
      <c r="B343" s="95"/>
      <c r="C343" s="38">
        <v>4260</v>
      </c>
      <c r="D343" s="96" t="s">
        <v>68</v>
      </c>
      <c r="E343" s="31">
        <f>4000-4000</f>
        <v>0</v>
      </c>
    </row>
    <row r="344" spans="1:5" ht="22.5" customHeight="1">
      <c r="A344" s="35"/>
      <c r="B344" s="95"/>
      <c r="C344" s="38">
        <v>4270</v>
      </c>
      <c r="D344" s="96" t="s">
        <v>14</v>
      </c>
      <c r="E344" s="31">
        <f>1000-1000</f>
        <v>0</v>
      </c>
    </row>
    <row r="345" spans="1:5" ht="22.5" customHeight="1">
      <c r="A345" s="35"/>
      <c r="B345" s="95"/>
      <c r="C345" s="38">
        <v>4280</v>
      </c>
      <c r="D345" s="96" t="s">
        <v>70</v>
      </c>
      <c r="E345" s="31">
        <f>200-200</f>
        <v>0</v>
      </c>
    </row>
    <row r="346" spans="1:5" ht="22.5" customHeight="1">
      <c r="A346" s="35"/>
      <c r="B346" s="95"/>
      <c r="C346" s="38">
        <v>4300</v>
      </c>
      <c r="D346" s="96" t="s">
        <v>134</v>
      </c>
      <c r="E346" s="31">
        <f>5000-5000</f>
        <v>0</v>
      </c>
    </row>
    <row r="347" spans="1:5" ht="20.25" customHeight="1">
      <c r="A347" s="35"/>
      <c r="B347" s="95"/>
      <c r="C347" s="38">
        <v>4360</v>
      </c>
      <c r="D347" s="96" t="s">
        <v>15</v>
      </c>
      <c r="E347" s="31">
        <f>500-500</f>
        <v>0</v>
      </c>
    </row>
    <row r="348" spans="1:5" ht="23.25" customHeight="1">
      <c r="A348" s="35"/>
      <c r="B348" s="95"/>
      <c r="C348" s="38">
        <v>4410</v>
      </c>
      <c r="D348" s="96" t="s">
        <v>72</v>
      </c>
      <c r="E348" s="31">
        <f>1000-1000</f>
        <v>0</v>
      </c>
    </row>
    <row r="349" spans="1:5" ht="21.75" customHeight="1">
      <c r="A349" s="35"/>
      <c r="B349" s="95"/>
      <c r="C349" s="38">
        <v>4440</v>
      </c>
      <c r="D349" s="96" t="s">
        <v>169</v>
      </c>
      <c r="E349" s="31">
        <f>25000-25000</f>
        <v>0</v>
      </c>
    </row>
    <row r="350" spans="1:5" ht="23.25" customHeight="1">
      <c r="A350" s="35"/>
      <c r="B350" s="95"/>
      <c r="C350" s="38">
        <v>4700</v>
      </c>
      <c r="D350" s="96" t="s">
        <v>18</v>
      </c>
      <c r="E350" s="31">
        <f>300-300</f>
        <v>0</v>
      </c>
    </row>
    <row r="351" spans="1:5" ht="24" customHeight="1">
      <c r="A351" s="35"/>
      <c r="B351" s="95"/>
      <c r="C351" s="38">
        <v>4710</v>
      </c>
      <c r="D351" s="96" t="s">
        <v>170</v>
      </c>
      <c r="E351" s="31">
        <f>500-500</f>
        <v>0</v>
      </c>
    </row>
    <row r="352" spans="1:5" ht="22.5" customHeight="1">
      <c r="A352" s="35"/>
      <c r="B352" s="95"/>
      <c r="C352" s="38">
        <v>4780</v>
      </c>
      <c r="D352" s="96" t="s">
        <v>171</v>
      </c>
      <c r="E352" s="31">
        <f>500-500</f>
        <v>0</v>
      </c>
    </row>
    <row r="353" spans="1:5" ht="21" customHeight="1">
      <c r="A353" s="35"/>
      <c r="B353" s="97">
        <v>80116</v>
      </c>
      <c r="C353" s="118" t="s">
        <v>172</v>
      </c>
      <c r="D353" s="119"/>
      <c r="E353" s="13">
        <f>SUM(E354:E366)</f>
        <v>142000</v>
      </c>
    </row>
    <row r="354" spans="1:5" ht="31.5">
      <c r="A354" s="35"/>
      <c r="B354" s="95"/>
      <c r="C354" s="38">
        <v>2590</v>
      </c>
      <c r="D354" s="51" t="s">
        <v>167</v>
      </c>
      <c r="E354" s="31">
        <f>500000-300000-58000</f>
        <v>142000</v>
      </c>
    </row>
    <row r="355" spans="1:5" ht="22.5" customHeight="1">
      <c r="A355" s="35"/>
      <c r="B355" s="95"/>
      <c r="C355" s="38">
        <v>3020</v>
      </c>
      <c r="D355" s="96" t="s">
        <v>64</v>
      </c>
      <c r="E355" s="31">
        <f>1000-1000</f>
        <v>0</v>
      </c>
    </row>
    <row r="356" spans="1:5" ht="21" customHeight="1">
      <c r="A356" s="35"/>
      <c r="B356" s="95"/>
      <c r="C356" s="38">
        <v>4010</v>
      </c>
      <c r="D356" s="96" t="s">
        <v>29</v>
      </c>
      <c r="E356" s="31">
        <f>15000-15000</f>
        <v>0</v>
      </c>
    </row>
    <row r="357" spans="1:5" ht="22.5" customHeight="1">
      <c r="A357" s="35"/>
      <c r="B357" s="95"/>
      <c r="C357" s="38">
        <v>4110</v>
      </c>
      <c r="D357" s="96" t="s">
        <v>33</v>
      </c>
      <c r="E357" s="31">
        <f>5000-5000</f>
        <v>0</v>
      </c>
    </row>
    <row r="358" spans="1:5" ht="21" customHeight="1">
      <c r="A358" s="35"/>
      <c r="B358" s="95"/>
      <c r="C358" s="38">
        <v>4120</v>
      </c>
      <c r="D358" s="96" t="s">
        <v>168</v>
      </c>
      <c r="E358" s="31">
        <f>200-200</f>
        <v>0</v>
      </c>
    </row>
    <row r="359" spans="1:5" ht="21.75" customHeight="1">
      <c r="A359" s="35"/>
      <c r="B359" s="95"/>
      <c r="C359" s="38">
        <v>4210</v>
      </c>
      <c r="D359" s="96" t="s">
        <v>13</v>
      </c>
      <c r="E359" s="31">
        <f>500-500</f>
        <v>0</v>
      </c>
    </row>
    <row r="360" spans="1:5" ht="22.5" customHeight="1">
      <c r="A360" s="35"/>
      <c r="B360" s="95"/>
      <c r="C360" s="38">
        <v>4260</v>
      </c>
      <c r="D360" s="96" t="s">
        <v>68</v>
      </c>
      <c r="E360" s="31">
        <f>1600-1600</f>
        <v>0</v>
      </c>
    </row>
    <row r="361" spans="1:5" ht="22.5" customHeight="1">
      <c r="A361" s="35"/>
      <c r="B361" s="95"/>
      <c r="C361" s="38">
        <v>4300</v>
      </c>
      <c r="D361" s="96" t="s">
        <v>134</v>
      </c>
      <c r="E361" s="31">
        <f>500-500</f>
        <v>0</v>
      </c>
    </row>
    <row r="362" spans="1:5" ht="20.25" customHeight="1">
      <c r="A362" s="35"/>
      <c r="B362" s="95"/>
      <c r="C362" s="38">
        <v>4360</v>
      </c>
      <c r="D362" s="96" t="s">
        <v>15</v>
      </c>
      <c r="E362" s="31">
        <f>500-500</f>
        <v>0</v>
      </c>
    </row>
    <row r="363" spans="1:5" ht="23.25" customHeight="1">
      <c r="A363" s="35"/>
      <c r="B363" s="95"/>
      <c r="C363" s="38">
        <v>4410</v>
      </c>
      <c r="D363" s="96" t="s">
        <v>72</v>
      </c>
      <c r="E363" s="31">
        <f>200-200</f>
        <v>0</v>
      </c>
    </row>
    <row r="364" spans="1:5" ht="21.75" customHeight="1">
      <c r="A364" s="35"/>
      <c r="B364" s="95"/>
      <c r="C364" s="38">
        <v>4440</v>
      </c>
      <c r="D364" s="96" t="s">
        <v>169</v>
      </c>
      <c r="E364" s="31">
        <f>4000-4000</f>
        <v>0</v>
      </c>
    </row>
    <row r="365" spans="1:5" ht="23.25" customHeight="1">
      <c r="A365" s="35"/>
      <c r="B365" s="95"/>
      <c r="C365" s="38">
        <v>4700</v>
      </c>
      <c r="D365" s="96" t="s">
        <v>18</v>
      </c>
      <c r="E365" s="31">
        <f>200-200</f>
        <v>0</v>
      </c>
    </row>
    <row r="366" spans="1:5" ht="22.5" customHeight="1">
      <c r="A366" s="35"/>
      <c r="B366" s="95"/>
      <c r="C366" s="38">
        <v>4780</v>
      </c>
      <c r="D366" s="96" t="s">
        <v>171</v>
      </c>
      <c r="E366" s="31">
        <f>200-200</f>
        <v>0</v>
      </c>
    </row>
    <row r="367" spans="1:5" ht="22.5" customHeight="1">
      <c r="A367" s="48"/>
      <c r="B367" s="12">
        <v>80120</v>
      </c>
      <c r="C367" s="140" t="s">
        <v>173</v>
      </c>
      <c r="D367" s="141"/>
      <c r="E367" s="13">
        <f>SUM(E368:E368)</f>
        <v>600</v>
      </c>
    </row>
    <row r="368" spans="1:5" ht="37.5" customHeight="1">
      <c r="A368" s="41"/>
      <c r="B368" s="14"/>
      <c r="C368" s="38">
        <v>2590</v>
      </c>
      <c r="D368" s="96" t="s">
        <v>167</v>
      </c>
      <c r="E368" s="31">
        <f>380000-200000-144400-35000</f>
        <v>600</v>
      </c>
    </row>
    <row r="369" spans="1:5" ht="22.5" customHeight="1">
      <c r="A369" s="48"/>
      <c r="B369" s="12">
        <v>80121</v>
      </c>
      <c r="C369" s="140" t="s">
        <v>174</v>
      </c>
      <c r="D369" s="141"/>
      <c r="E369" s="13">
        <f>SUM(E370:E370)</f>
        <v>10000</v>
      </c>
    </row>
    <row r="370" spans="1:5" ht="37.5" customHeight="1">
      <c r="A370" s="41"/>
      <c r="B370" s="14"/>
      <c r="C370" s="38">
        <v>2540</v>
      </c>
      <c r="D370" s="98" t="s">
        <v>165</v>
      </c>
      <c r="E370" s="31">
        <f>30000-20000</f>
        <v>10000</v>
      </c>
    </row>
    <row r="371" spans="1:5" ht="22.5" customHeight="1">
      <c r="A371" s="48"/>
      <c r="B371" s="12">
        <v>80134</v>
      </c>
      <c r="C371" s="140" t="s">
        <v>175</v>
      </c>
      <c r="D371" s="141"/>
      <c r="E371" s="13">
        <f>SUM(E372:E372)</f>
        <v>125000</v>
      </c>
    </row>
    <row r="372" spans="1:5" ht="37.5" customHeight="1">
      <c r="A372" s="41"/>
      <c r="B372" s="14"/>
      <c r="C372" s="38">
        <v>2540</v>
      </c>
      <c r="D372" s="99" t="s">
        <v>165</v>
      </c>
      <c r="E372" s="31">
        <f>175000-50000</f>
        <v>125000</v>
      </c>
    </row>
    <row r="373" spans="1:5" ht="22.5" customHeight="1">
      <c r="A373" s="41"/>
      <c r="B373" s="12">
        <v>80146</v>
      </c>
      <c r="C373" s="140" t="s">
        <v>176</v>
      </c>
      <c r="D373" s="141"/>
      <c r="E373" s="13">
        <f>E374+E375</f>
        <v>0</v>
      </c>
    </row>
    <row r="374" spans="1:5" ht="22.5" customHeight="1">
      <c r="A374" s="41"/>
      <c r="B374" s="14"/>
      <c r="C374" s="14">
        <v>4300</v>
      </c>
      <c r="D374" s="15" t="s">
        <v>10</v>
      </c>
      <c r="E374" s="31">
        <f>30000-30000</f>
        <v>0</v>
      </c>
    </row>
    <row r="375" spans="1:5" ht="18.75" customHeight="1">
      <c r="A375" s="41"/>
      <c r="B375" s="14"/>
      <c r="C375" s="14">
        <v>4700</v>
      </c>
      <c r="D375" s="15" t="s">
        <v>18</v>
      </c>
      <c r="E375" s="31">
        <f>58178-58178</f>
        <v>0</v>
      </c>
    </row>
    <row r="376" spans="1:5" ht="69.75" customHeight="1">
      <c r="A376" s="41"/>
      <c r="B376" s="100">
        <v>80152</v>
      </c>
      <c r="C376" s="140" t="s">
        <v>177</v>
      </c>
      <c r="D376" s="141"/>
      <c r="E376" s="13">
        <f>SUM(E377:E384)</f>
        <v>55000</v>
      </c>
    </row>
    <row r="377" spans="1:5" ht="38.25" customHeight="1">
      <c r="A377" s="41"/>
      <c r="B377" s="14"/>
      <c r="C377" s="38">
        <v>2590</v>
      </c>
      <c r="D377" s="51" t="s">
        <v>167</v>
      </c>
      <c r="E377" s="31">
        <f>360000-150000-155000</f>
        <v>55000</v>
      </c>
    </row>
    <row r="378" spans="1:5" ht="22.5" customHeight="1">
      <c r="A378" s="35"/>
      <c r="B378" s="95"/>
      <c r="C378" s="38">
        <v>3020</v>
      </c>
      <c r="D378" s="96" t="s">
        <v>64</v>
      </c>
      <c r="E378" s="31">
        <f>1100-1100</f>
        <v>0</v>
      </c>
    </row>
    <row r="379" spans="1:5" ht="21" customHeight="1">
      <c r="A379" s="35"/>
      <c r="B379" s="95"/>
      <c r="C379" s="38">
        <v>4010</v>
      </c>
      <c r="D379" s="96" t="s">
        <v>29</v>
      </c>
      <c r="E379" s="31">
        <f>10000-10000</f>
        <v>0</v>
      </c>
    </row>
    <row r="380" spans="1:5" ht="22.5" customHeight="1">
      <c r="A380" s="35"/>
      <c r="B380" s="95"/>
      <c r="C380" s="38">
        <v>4110</v>
      </c>
      <c r="D380" s="96" t="s">
        <v>33</v>
      </c>
      <c r="E380" s="31">
        <f>2000-2000</f>
        <v>0</v>
      </c>
    </row>
    <row r="381" spans="1:5" ht="21" customHeight="1">
      <c r="A381" s="35"/>
      <c r="B381" s="95"/>
      <c r="C381" s="38">
        <v>4120</v>
      </c>
      <c r="D381" s="96" t="s">
        <v>168</v>
      </c>
      <c r="E381" s="31">
        <f>500-500</f>
        <v>0</v>
      </c>
    </row>
    <row r="382" spans="1:5" ht="22.5" customHeight="1">
      <c r="A382" s="35"/>
      <c r="B382" s="95"/>
      <c r="C382" s="38">
        <v>4240</v>
      </c>
      <c r="D382" s="96" t="s">
        <v>107</v>
      </c>
      <c r="E382" s="31">
        <f>1000-1000</f>
        <v>0</v>
      </c>
    </row>
    <row r="383" spans="1:5" ht="23.25" customHeight="1">
      <c r="A383" s="35"/>
      <c r="B383" s="95"/>
      <c r="C383" s="38">
        <v>4710</v>
      </c>
      <c r="D383" s="96" t="s">
        <v>40</v>
      </c>
      <c r="E383" s="31">
        <f>200-200</f>
        <v>0</v>
      </c>
    </row>
    <row r="384" spans="1:5" ht="22.5" customHeight="1">
      <c r="A384" s="35"/>
      <c r="B384" s="95"/>
      <c r="C384" s="38">
        <v>4780</v>
      </c>
      <c r="D384" s="96" t="s">
        <v>171</v>
      </c>
      <c r="E384" s="31">
        <f>200-200</f>
        <v>0</v>
      </c>
    </row>
    <row r="385" spans="1:5" ht="30.75" customHeight="1">
      <c r="A385" s="41"/>
      <c r="B385" s="100">
        <v>80153</v>
      </c>
      <c r="C385" s="118" t="s">
        <v>178</v>
      </c>
      <c r="D385" s="119"/>
      <c r="E385" s="13">
        <f>E386</f>
        <v>4300</v>
      </c>
    </row>
    <row r="386" spans="1:5" ht="38.25" customHeight="1">
      <c r="A386" s="41"/>
      <c r="B386" s="14"/>
      <c r="C386" s="38">
        <v>2830</v>
      </c>
      <c r="D386" s="56" t="s">
        <v>179</v>
      </c>
      <c r="E386" s="31">
        <f>1200+3100</f>
        <v>4300</v>
      </c>
    </row>
    <row r="387" spans="1:5" ht="23.25" customHeight="1">
      <c r="A387" s="41"/>
      <c r="B387" s="12">
        <v>80195</v>
      </c>
      <c r="C387" s="132" t="s">
        <v>9</v>
      </c>
      <c r="D387" s="132"/>
      <c r="E387" s="13">
        <f>SUM(E388:E395)</f>
        <v>644342</v>
      </c>
    </row>
    <row r="388" spans="1:5" ht="23.25" customHeight="1">
      <c r="A388" s="41"/>
      <c r="B388" s="12"/>
      <c r="C388" s="14">
        <v>3240</v>
      </c>
      <c r="D388" s="15" t="s">
        <v>180</v>
      </c>
      <c r="E388" s="31">
        <f>12000+12000-14000</f>
        <v>10000</v>
      </c>
    </row>
    <row r="389" spans="1:5" ht="23.25" customHeight="1">
      <c r="A389" s="41"/>
      <c r="B389" s="12"/>
      <c r="C389" s="14">
        <v>4010</v>
      </c>
      <c r="D389" s="15" t="s">
        <v>29</v>
      </c>
      <c r="E389" s="31">
        <f>27000+6530-5000-27000-300</f>
        <v>1230</v>
      </c>
    </row>
    <row r="390" spans="1:5" ht="23.25" customHeight="1">
      <c r="A390" s="41"/>
      <c r="B390" s="12"/>
      <c r="C390" s="14">
        <v>4110</v>
      </c>
      <c r="D390" s="96" t="s">
        <v>33</v>
      </c>
      <c r="E390" s="31">
        <v>52</v>
      </c>
    </row>
    <row r="391" spans="1:5" ht="23.25" customHeight="1">
      <c r="A391" s="41"/>
      <c r="B391" s="12"/>
      <c r="C391" s="14">
        <v>4170</v>
      </c>
      <c r="D391" s="15" t="s">
        <v>37</v>
      </c>
      <c r="E391" s="31">
        <f>1500+300</f>
        <v>1800</v>
      </c>
    </row>
    <row r="392" spans="1:5" ht="23.25" customHeight="1">
      <c r="A392" s="41"/>
      <c r="B392" s="14"/>
      <c r="C392" s="14">
        <v>4210</v>
      </c>
      <c r="D392" s="15" t="s">
        <v>13</v>
      </c>
      <c r="E392" s="31">
        <f>10000-5000+103892-9072-20000-17500-40000-20000+623613</f>
        <v>625933</v>
      </c>
    </row>
    <row r="393" spans="1:5" ht="23.25" customHeight="1">
      <c r="A393" s="41"/>
      <c r="B393" s="14"/>
      <c r="C393" s="14">
        <v>4220</v>
      </c>
      <c r="D393" s="15" t="s">
        <v>67</v>
      </c>
      <c r="E393" s="31">
        <f>5000-2000-1375</f>
        <v>1625</v>
      </c>
    </row>
    <row r="394" spans="1:5" ht="23.25" customHeight="1">
      <c r="A394" s="41"/>
      <c r="B394" s="14"/>
      <c r="C394" s="14">
        <v>4300</v>
      </c>
      <c r="D394" s="15" t="s">
        <v>10</v>
      </c>
      <c r="E394" s="31">
        <f>10000-5000-2000-2000</f>
        <v>1000</v>
      </c>
    </row>
    <row r="395" spans="1:5" ht="23.25" customHeight="1">
      <c r="A395" s="41"/>
      <c r="B395" s="14"/>
      <c r="C395" s="14">
        <v>4440</v>
      </c>
      <c r="D395" s="15" t="s">
        <v>44</v>
      </c>
      <c r="E395" s="31">
        <f>232500-200246-20000-1500-52+1637-1637-3000-5000</f>
        <v>2702</v>
      </c>
    </row>
    <row r="396" spans="1:5" ht="23.25" customHeight="1">
      <c r="A396" s="35">
        <v>854</v>
      </c>
      <c r="B396" s="129" t="s">
        <v>181</v>
      </c>
      <c r="C396" s="130"/>
      <c r="D396" s="131"/>
      <c r="E396" s="24">
        <f>E397+E399+E403+E406+E401</f>
        <v>3350912</v>
      </c>
    </row>
    <row r="397" spans="1:5" ht="23.25" customHeight="1">
      <c r="A397" s="35"/>
      <c r="B397" s="12">
        <v>85411</v>
      </c>
      <c r="C397" s="140" t="s">
        <v>182</v>
      </c>
      <c r="D397" s="141"/>
      <c r="E397" s="13">
        <f>E398</f>
        <v>2650000</v>
      </c>
    </row>
    <row r="398" spans="1:5" ht="23.25" customHeight="1">
      <c r="A398" s="35"/>
      <c r="B398" s="101"/>
      <c r="C398" s="14">
        <v>2540</v>
      </c>
      <c r="D398" s="15" t="s">
        <v>183</v>
      </c>
      <c r="E398" s="31">
        <f>2400000+150000+100000</f>
        <v>2650000</v>
      </c>
    </row>
    <row r="399" spans="1:5" ht="23.25" customHeight="1">
      <c r="A399" s="48"/>
      <c r="B399" s="12">
        <v>85417</v>
      </c>
      <c r="C399" s="140" t="s">
        <v>184</v>
      </c>
      <c r="D399" s="141"/>
      <c r="E399" s="13">
        <f>E400</f>
        <v>25000</v>
      </c>
    </row>
    <row r="400" spans="1:5" ht="23.25" customHeight="1">
      <c r="A400" s="41"/>
      <c r="B400" s="14"/>
      <c r="C400" s="14">
        <v>2540</v>
      </c>
      <c r="D400" s="15" t="s">
        <v>183</v>
      </c>
      <c r="E400" s="31">
        <v>25000</v>
      </c>
    </row>
    <row r="401" spans="1:5" ht="23.25" customHeight="1">
      <c r="A401" s="48"/>
      <c r="B401" s="12">
        <v>85420</v>
      </c>
      <c r="C401" s="140" t="s">
        <v>185</v>
      </c>
      <c r="D401" s="141"/>
      <c r="E401" s="13">
        <f>E402</f>
        <v>669400</v>
      </c>
    </row>
    <row r="402" spans="1:5" ht="23.25" customHeight="1">
      <c r="A402" s="41"/>
      <c r="B402" s="14"/>
      <c r="C402" s="14">
        <v>2540</v>
      </c>
      <c r="D402" s="15" t="s">
        <v>183</v>
      </c>
      <c r="E402" s="31">
        <f>979400-310000</f>
        <v>669400</v>
      </c>
    </row>
    <row r="403" spans="1:5" ht="23.25" customHeight="1">
      <c r="A403" s="41"/>
      <c r="B403" s="12">
        <v>85446</v>
      </c>
      <c r="C403" s="140" t="s">
        <v>176</v>
      </c>
      <c r="D403" s="141"/>
      <c r="E403" s="13">
        <f>SUM(E404:E405)</f>
        <v>0</v>
      </c>
    </row>
    <row r="404" spans="1:5" ht="23.25" customHeight="1">
      <c r="A404" s="41"/>
      <c r="B404" s="14"/>
      <c r="C404" s="14">
        <v>4300</v>
      </c>
      <c r="D404" s="15" t="s">
        <v>10</v>
      </c>
      <c r="E404" s="31">
        <f>18800-18800</f>
        <v>0</v>
      </c>
    </row>
    <row r="405" spans="1:5" ht="23.25" customHeight="1">
      <c r="A405" s="41"/>
      <c r="B405" s="14"/>
      <c r="C405" s="14">
        <v>4700</v>
      </c>
      <c r="D405" s="15" t="s">
        <v>18</v>
      </c>
      <c r="E405" s="31">
        <f>37458-37458</f>
        <v>0</v>
      </c>
    </row>
    <row r="406" spans="1:5" ht="23.25" customHeight="1">
      <c r="A406" s="41"/>
      <c r="B406" s="12">
        <v>85495</v>
      </c>
      <c r="C406" s="140" t="s">
        <v>9</v>
      </c>
      <c r="D406" s="141"/>
      <c r="E406" s="13">
        <f>SUM(E407:E412)</f>
        <v>6512</v>
      </c>
    </row>
    <row r="407" spans="1:5" ht="23.25" customHeight="1">
      <c r="A407" s="41"/>
      <c r="B407" s="12"/>
      <c r="C407" s="45">
        <v>4010</v>
      </c>
      <c r="D407" s="15" t="s">
        <v>29</v>
      </c>
      <c r="E407" s="31">
        <f>19400+14-19400</f>
        <v>14</v>
      </c>
    </row>
    <row r="408" spans="1:5" ht="23.25" customHeight="1">
      <c r="A408" s="41"/>
      <c r="B408" s="12"/>
      <c r="C408" s="45">
        <v>4170</v>
      </c>
      <c r="D408" s="15" t="s">
        <v>66</v>
      </c>
      <c r="E408" s="31">
        <v>300</v>
      </c>
    </row>
    <row r="409" spans="1:5" ht="23.25" customHeight="1">
      <c r="A409" s="41"/>
      <c r="B409" s="14"/>
      <c r="C409" s="14">
        <v>4210</v>
      </c>
      <c r="D409" s="15" t="s">
        <v>13</v>
      </c>
      <c r="E409" s="31">
        <f>10000-5000+513769+466-4400-200000-31500-282000</f>
        <v>1335</v>
      </c>
    </row>
    <row r="410" spans="1:5" ht="23.25" customHeight="1">
      <c r="A410" s="41"/>
      <c r="B410" s="14"/>
      <c r="C410" s="14">
        <v>4220</v>
      </c>
      <c r="D410" s="15" t="s">
        <v>67</v>
      </c>
      <c r="E410" s="31">
        <f>5000-2000</f>
        <v>3000</v>
      </c>
    </row>
    <row r="411" spans="1:5" ht="23.25" customHeight="1">
      <c r="A411" s="41"/>
      <c r="B411" s="14"/>
      <c r="C411" s="14">
        <v>4300</v>
      </c>
      <c r="D411" s="15" t="s">
        <v>10</v>
      </c>
      <c r="E411" s="31">
        <f>10000-5000-3400</f>
        <v>1600</v>
      </c>
    </row>
    <row r="412" spans="1:5" ht="23.25" customHeight="1">
      <c r="A412" s="41"/>
      <c r="B412" s="14"/>
      <c r="C412" s="14">
        <v>4440</v>
      </c>
      <c r="D412" s="15" t="s">
        <v>44</v>
      </c>
      <c r="E412" s="31">
        <f>23100-16493-300+456-5000-1500</f>
        <v>263</v>
      </c>
    </row>
    <row r="413" spans="1:5" ht="23.25" customHeight="1">
      <c r="A413" s="35">
        <v>921</v>
      </c>
      <c r="B413" s="129" t="s">
        <v>158</v>
      </c>
      <c r="C413" s="130"/>
      <c r="D413" s="131"/>
      <c r="E413" s="50">
        <f>E414+E416+E418</f>
        <v>213500</v>
      </c>
    </row>
    <row r="414" spans="1:5" ht="23.25" customHeight="1">
      <c r="A414" s="90"/>
      <c r="B414" s="12">
        <v>92116</v>
      </c>
      <c r="C414" s="132" t="s">
        <v>186</v>
      </c>
      <c r="D414" s="132"/>
      <c r="E414" s="13">
        <f>E415</f>
        <v>22000</v>
      </c>
    </row>
    <row r="415" spans="1:5" ht="23.25" customHeight="1">
      <c r="A415" s="90"/>
      <c r="B415" s="20"/>
      <c r="C415" s="14">
        <v>2480</v>
      </c>
      <c r="D415" s="15" t="s">
        <v>187</v>
      </c>
      <c r="E415" s="58">
        <v>22000</v>
      </c>
    </row>
    <row r="416" spans="1:5" ht="23.25" customHeight="1">
      <c r="A416" s="90"/>
      <c r="B416" s="12">
        <v>92120</v>
      </c>
      <c r="C416" s="132" t="s">
        <v>188</v>
      </c>
      <c r="D416" s="132"/>
      <c r="E416" s="13">
        <f>E417</f>
        <v>30000</v>
      </c>
    </row>
    <row r="417" spans="1:5" ht="31.5">
      <c r="A417" s="90"/>
      <c r="B417" s="20"/>
      <c r="C417" s="14">
        <v>2720</v>
      </c>
      <c r="D417" s="15" t="s">
        <v>189</v>
      </c>
      <c r="E417" s="58">
        <v>30000</v>
      </c>
    </row>
    <row r="418" spans="1:5" ht="15.75">
      <c r="A418" s="11"/>
      <c r="B418" s="12">
        <v>92195</v>
      </c>
      <c r="C418" s="140" t="s">
        <v>9</v>
      </c>
      <c r="D418" s="141"/>
      <c r="E418" s="13">
        <f>SUM(E419:E431)</f>
        <v>161500</v>
      </c>
    </row>
    <row r="419" spans="1:5" ht="47.25">
      <c r="A419" s="11"/>
      <c r="B419" s="12"/>
      <c r="C419" s="38">
        <v>2360</v>
      </c>
      <c r="D419" s="15" t="s">
        <v>163</v>
      </c>
      <c r="E419" s="31">
        <f>25000-5000</f>
        <v>20000</v>
      </c>
    </row>
    <row r="420" spans="1:5" ht="22.5" customHeight="1">
      <c r="A420" s="11"/>
      <c r="B420" s="12"/>
      <c r="C420" s="14">
        <v>2480</v>
      </c>
      <c r="D420" s="15" t="s">
        <v>187</v>
      </c>
      <c r="E420" s="31">
        <v>10000</v>
      </c>
    </row>
    <row r="421" spans="1:5" ht="22.5" customHeight="1">
      <c r="A421" s="11"/>
      <c r="B421" s="12"/>
      <c r="C421" s="14">
        <v>3040</v>
      </c>
      <c r="D421" s="15" t="s">
        <v>190</v>
      </c>
      <c r="E421" s="58">
        <v>6000</v>
      </c>
    </row>
    <row r="422" spans="1:5" ht="22.5" customHeight="1">
      <c r="A422" s="11"/>
      <c r="B422" s="12"/>
      <c r="C422" s="14">
        <v>4090</v>
      </c>
      <c r="D422" s="46" t="s">
        <v>191</v>
      </c>
      <c r="E422" s="58">
        <v>2000</v>
      </c>
    </row>
    <row r="423" spans="1:5" ht="22.5" customHeight="1">
      <c r="A423" s="11"/>
      <c r="B423" s="12"/>
      <c r="C423" s="14">
        <v>4110</v>
      </c>
      <c r="D423" s="51" t="s">
        <v>33</v>
      </c>
      <c r="E423" s="31">
        <v>1000</v>
      </c>
    </row>
    <row r="424" spans="1:5" ht="22.5" customHeight="1">
      <c r="A424" s="11"/>
      <c r="B424" s="12"/>
      <c r="C424" s="14">
        <v>4120</v>
      </c>
      <c r="D424" s="36" t="s">
        <v>35</v>
      </c>
      <c r="E424" s="31">
        <v>100</v>
      </c>
    </row>
    <row r="425" spans="1:5" ht="22.5" customHeight="1">
      <c r="A425" s="11"/>
      <c r="B425" s="12"/>
      <c r="C425" s="14">
        <v>4170</v>
      </c>
      <c r="D425" s="51" t="s">
        <v>37</v>
      </c>
      <c r="E425" s="31">
        <f>5000+3000+1000</f>
        <v>9000</v>
      </c>
    </row>
    <row r="426" spans="1:5" ht="22.5" customHeight="1">
      <c r="A426" s="11"/>
      <c r="B426" s="14"/>
      <c r="C426" s="14">
        <v>4190</v>
      </c>
      <c r="D426" s="15" t="s">
        <v>122</v>
      </c>
      <c r="E426" s="31">
        <v>24000</v>
      </c>
    </row>
    <row r="427" spans="1:5" ht="18" customHeight="1">
      <c r="A427" s="11"/>
      <c r="B427" s="14"/>
      <c r="C427" s="14">
        <v>4210</v>
      </c>
      <c r="D427" s="15" t="s">
        <v>13</v>
      </c>
      <c r="E427" s="31">
        <v>4000</v>
      </c>
    </row>
    <row r="428" spans="1:5" ht="22.5" customHeight="1">
      <c r="A428" s="11"/>
      <c r="B428" s="14"/>
      <c r="C428" s="14">
        <v>4220</v>
      </c>
      <c r="D428" s="15" t="s">
        <v>67</v>
      </c>
      <c r="E428" s="31">
        <v>1500</v>
      </c>
    </row>
    <row r="429" spans="1:5" ht="22.5" customHeight="1">
      <c r="A429" s="11"/>
      <c r="B429" s="14"/>
      <c r="C429" s="14">
        <v>4280</v>
      </c>
      <c r="D429" s="54" t="s">
        <v>192</v>
      </c>
      <c r="E429" s="31">
        <v>4000</v>
      </c>
    </row>
    <row r="430" spans="1:5" ht="22.5" customHeight="1">
      <c r="A430" s="11"/>
      <c r="B430" s="14"/>
      <c r="C430" s="14">
        <v>4300</v>
      </c>
      <c r="D430" s="15" t="s">
        <v>10</v>
      </c>
      <c r="E430" s="31">
        <f>61000+23000-5000-1000-100</f>
        <v>77900</v>
      </c>
    </row>
    <row r="431" spans="1:5" ht="22.5" customHeight="1">
      <c r="A431" s="11"/>
      <c r="B431" s="14"/>
      <c r="C431" s="14">
        <v>4430</v>
      </c>
      <c r="D431" s="15" t="s">
        <v>17</v>
      </c>
      <c r="E431" s="31">
        <v>2000</v>
      </c>
    </row>
    <row r="432" spans="1:5" ht="22.5" customHeight="1">
      <c r="A432" s="35">
        <v>926</v>
      </c>
      <c r="B432" s="129" t="s">
        <v>193</v>
      </c>
      <c r="C432" s="130"/>
      <c r="D432" s="131"/>
      <c r="E432" s="57">
        <f>E433</f>
        <v>44000</v>
      </c>
    </row>
    <row r="433" spans="1:5" ht="22.5" customHeight="1">
      <c r="A433" s="35"/>
      <c r="B433" s="12">
        <v>92695</v>
      </c>
      <c r="C433" s="140" t="s">
        <v>9</v>
      </c>
      <c r="D433" s="141"/>
      <c r="E433" s="13">
        <f>SUM(E434:E442)</f>
        <v>44000</v>
      </c>
    </row>
    <row r="434" spans="1:5" ht="47.25">
      <c r="A434" s="35"/>
      <c r="B434" s="12"/>
      <c r="C434" s="38">
        <v>2360</v>
      </c>
      <c r="D434" s="15" t="s">
        <v>194</v>
      </c>
      <c r="E434" s="31">
        <f>20000-3000</f>
        <v>17000</v>
      </c>
    </row>
    <row r="435" spans="1:5" ht="22.5" customHeight="1">
      <c r="A435" s="35"/>
      <c r="B435" s="12"/>
      <c r="C435" s="14">
        <v>4110</v>
      </c>
      <c r="D435" s="51" t="s">
        <v>33</v>
      </c>
      <c r="E435" s="31">
        <f>1000-1000</f>
        <v>0</v>
      </c>
    </row>
    <row r="436" spans="1:5" ht="22.5" customHeight="1">
      <c r="A436" s="11"/>
      <c r="B436" s="20"/>
      <c r="C436" s="14">
        <v>4170</v>
      </c>
      <c r="D436" s="15" t="s">
        <v>37</v>
      </c>
      <c r="E436" s="31">
        <f>4000-3000</f>
        <v>1000</v>
      </c>
    </row>
    <row r="437" spans="1:5" ht="22.5" customHeight="1">
      <c r="A437" s="11"/>
      <c r="B437" s="20"/>
      <c r="C437" s="14">
        <v>4190</v>
      </c>
      <c r="D437" s="15" t="s">
        <v>122</v>
      </c>
      <c r="E437" s="31">
        <f>15000-10000+6000</f>
        <v>11000</v>
      </c>
    </row>
    <row r="438" spans="1:5" ht="22.5" customHeight="1">
      <c r="A438" s="11"/>
      <c r="B438" s="20"/>
      <c r="C438" s="14">
        <v>4210</v>
      </c>
      <c r="D438" s="15" t="s">
        <v>13</v>
      </c>
      <c r="E438" s="31">
        <f>4500-2000-1000</f>
        <v>1500</v>
      </c>
    </row>
    <row r="439" spans="1:5" ht="22.5" customHeight="1">
      <c r="A439" s="11"/>
      <c r="B439" s="20"/>
      <c r="C439" s="14">
        <v>4220</v>
      </c>
      <c r="D439" s="15" t="s">
        <v>67</v>
      </c>
      <c r="E439" s="31">
        <f>1500+1000</f>
        <v>2500</v>
      </c>
    </row>
    <row r="440" spans="1:5" ht="22.5" customHeight="1">
      <c r="A440" s="11"/>
      <c r="B440" s="20"/>
      <c r="C440" s="14">
        <v>4280</v>
      </c>
      <c r="D440" s="15" t="s">
        <v>70</v>
      </c>
      <c r="E440" s="31">
        <f>2000-1000</f>
        <v>1000</v>
      </c>
    </row>
    <row r="441" spans="1:5" ht="22.5" customHeight="1">
      <c r="A441" s="11"/>
      <c r="B441" s="20"/>
      <c r="C441" s="14">
        <v>4300</v>
      </c>
      <c r="D441" s="15" t="s">
        <v>10</v>
      </c>
      <c r="E441" s="58">
        <v>7000</v>
      </c>
    </row>
    <row r="442" spans="1:5" ht="22.5" customHeight="1">
      <c r="A442" s="11"/>
      <c r="B442" s="20"/>
      <c r="C442" s="14">
        <v>4430</v>
      </c>
      <c r="D442" s="51" t="s">
        <v>17</v>
      </c>
      <c r="E442" s="58">
        <f>2000+2000-1000</f>
        <v>3000</v>
      </c>
    </row>
    <row r="443" spans="1:5" ht="22.5" customHeight="1">
      <c r="A443" s="145" t="s">
        <v>195</v>
      </c>
      <c r="B443" s="146"/>
      <c r="C443" s="146"/>
      <c r="D443" s="146"/>
      <c r="E443" s="89">
        <f>E444</f>
        <v>18266</v>
      </c>
    </row>
    <row r="444" spans="1:5" ht="22.5" customHeight="1">
      <c r="A444" s="35">
        <v>750</v>
      </c>
      <c r="B444" s="129" t="s">
        <v>11</v>
      </c>
      <c r="C444" s="130"/>
      <c r="D444" s="131"/>
      <c r="E444" s="50">
        <f>E445</f>
        <v>18266</v>
      </c>
    </row>
    <row r="445" spans="1:5" ht="22.5" customHeight="1">
      <c r="A445" s="11"/>
      <c r="B445" s="12">
        <v>75020</v>
      </c>
      <c r="C445" s="140" t="s">
        <v>12</v>
      </c>
      <c r="D445" s="141"/>
      <c r="E445" s="13">
        <f>E446</f>
        <v>18266</v>
      </c>
    </row>
    <row r="446" spans="1:5" ht="22.5" customHeight="1">
      <c r="A446" s="11"/>
      <c r="B446" s="14"/>
      <c r="C446" s="14">
        <v>4390</v>
      </c>
      <c r="D446" s="15" t="s">
        <v>16</v>
      </c>
      <c r="E446" s="31">
        <f>50000-31734</f>
        <v>18266</v>
      </c>
    </row>
    <row r="447" spans="1:5" ht="22.5" customHeight="1">
      <c r="A447" s="145" t="s">
        <v>196</v>
      </c>
      <c r="B447" s="146"/>
      <c r="C447" s="146"/>
      <c r="D447" s="146"/>
      <c r="E447" s="89">
        <f>E448+E460+E463+E472+E476+E466</f>
        <v>14177368.33</v>
      </c>
    </row>
    <row r="448" spans="1:5" ht="22.5" customHeight="1">
      <c r="A448" s="35">
        <v>750</v>
      </c>
      <c r="B448" s="135" t="s">
        <v>11</v>
      </c>
      <c r="C448" s="136"/>
      <c r="D448" s="137"/>
      <c r="E448" s="50">
        <f>E449</f>
        <v>7065402</v>
      </c>
    </row>
    <row r="449" spans="1:5" ht="22.5" customHeight="1">
      <c r="A449" s="11"/>
      <c r="B449" s="12">
        <v>75020</v>
      </c>
      <c r="C449" s="140" t="s">
        <v>12</v>
      </c>
      <c r="D449" s="141"/>
      <c r="E449" s="42">
        <f>SUM(E450:E459)</f>
        <v>7065402</v>
      </c>
    </row>
    <row r="450" spans="1:5" ht="47.25">
      <c r="A450" s="11"/>
      <c r="B450" s="12"/>
      <c r="C450" s="62">
        <v>2900</v>
      </c>
      <c r="D450" s="15" t="s">
        <v>197</v>
      </c>
      <c r="E450" s="58">
        <v>38027</v>
      </c>
    </row>
    <row r="451" spans="1:5" ht="21.75" customHeight="1">
      <c r="A451" s="11"/>
      <c r="B451" s="12"/>
      <c r="C451" s="45">
        <v>4170</v>
      </c>
      <c r="D451" s="15" t="s">
        <v>66</v>
      </c>
      <c r="E451" s="58">
        <v>16500</v>
      </c>
    </row>
    <row r="452" spans="1:5" ht="22.5" customHeight="1">
      <c r="A452" s="11"/>
      <c r="B452" s="20"/>
      <c r="C452" s="14">
        <v>4210</v>
      </c>
      <c r="D452" s="15" t="s">
        <v>13</v>
      </c>
      <c r="E452" s="31">
        <f>3000+5933166</f>
        <v>5936166</v>
      </c>
    </row>
    <row r="453" spans="1:5" ht="22.5" customHeight="1">
      <c r="A453" s="11"/>
      <c r="B453" s="20"/>
      <c r="C453" s="14">
        <v>4300</v>
      </c>
      <c r="D453" s="15" t="s">
        <v>10</v>
      </c>
      <c r="E453" s="31">
        <f>300000+83807-10000-600-16500-2000+325284-110000</f>
        <v>569991</v>
      </c>
    </row>
    <row r="454" spans="1:5" ht="22.5" customHeight="1">
      <c r="A454" s="11"/>
      <c r="B454" s="20"/>
      <c r="C454" s="14">
        <v>4390</v>
      </c>
      <c r="D454" s="15" t="s">
        <v>16</v>
      </c>
      <c r="E454" s="43">
        <v>12700</v>
      </c>
    </row>
    <row r="455" spans="1:5" ht="22.5" customHeight="1">
      <c r="A455" s="11"/>
      <c r="B455" s="20"/>
      <c r="C455" s="14">
        <v>4430</v>
      </c>
      <c r="D455" s="15" t="s">
        <v>17</v>
      </c>
      <c r="E455" s="43">
        <v>1000</v>
      </c>
    </row>
    <row r="456" spans="1:5" ht="22.5" customHeight="1">
      <c r="A456" s="11"/>
      <c r="B456" s="20"/>
      <c r="C456" s="14">
        <v>4440</v>
      </c>
      <c r="D456" s="15" t="s">
        <v>44</v>
      </c>
      <c r="E456" s="43">
        <f>486000+3718</f>
        <v>489718</v>
      </c>
    </row>
    <row r="457" spans="1:5" ht="22.5" customHeight="1">
      <c r="A457" s="11"/>
      <c r="B457" s="102"/>
      <c r="C457" s="14">
        <v>4510</v>
      </c>
      <c r="D457" s="51" t="s">
        <v>198</v>
      </c>
      <c r="E457" s="43">
        <v>300</v>
      </c>
    </row>
    <row r="458" spans="1:5" ht="22.5" customHeight="1">
      <c r="A458" s="11"/>
      <c r="B458" s="102"/>
      <c r="C458" s="14">
        <v>4530</v>
      </c>
      <c r="D458" s="51" t="s">
        <v>199</v>
      </c>
      <c r="E458" s="43">
        <v>1000</v>
      </c>
    </row>
    <row r="459" spans="1:5" ht="22.5" customHeight="1">
      <c r="A459" s="11"/>
      <c r="B459" s="102"/>
      <c r="C459" s="14">
        <v>4610</v>
      </c>
      <c r="D459" s="15" t="s">
        <v>141</v>
      </c>
      <c r="E459" s="43">
        <f>1000-1000</f>
        <v>0</v>
      </c>
    </row>
    <row r="460" spans="1:5" ht="22.5" customHeight="1">
      <c r="A460" s="35">
        <v>757</v>
      </c>
      <c r="B460" s="129" t="s">
        <v>200</v>
      </c>
      <c r="C460" s="130"/>
      <c r="D460" s="131"/>
      <c r="E460" s="50">
        <f>E461</f>
        <v>2650468</v>
      </c>
    </row>
    <row r="461" spans="1:5" ht="22.5" customHeight="1">
      <c r="A461" s="35"/>
      <c r="B461" s="12">
        <v>75702</v>
      </c>
      <c r="C461" s="140" t="s">
        <v>201</v>
      </c>
      <c r="D461" s="141"/>
      <c r="E461" s="13">
        <f>E462</f>
        <v>2650468</v>
      </c>
    </row>
    <row r="462" spans="1:5" ht="33.75" customHeight="1">
      <c r="A462" s="41"/>
      <c r="B462" s="14"/>
      <c r="C462" s="38">
        <v>8110</v>
      </c>
      <c r="D462" s="15" t="s">
        <v>202</v>
      </c>
      <c r="E462" s="31">
        <v>2650468</v>
      </c>
    </row>
    <row r="463" spans="1:5" ht="22.5" customHeight="1">
      <c r="A463" s="35">
        <v>758</v>
      </c>
      <c r="B463" s="129" t="s">
        <v>203</v>
      </c>
      <c r="C463" s="130"/>
      <c r="D463" s="131"/>
      <c r="E463" s="91">
        <f>E464</f>
        <v>1024118</v>
      </c>
    </row>
    <row r="464" spans="1:5" ht="22.5" customHeight="1">
      <c r="A464" s="48"/>
      <c r="B464" s="12">
        <v>75818</v>
      </c>
      <c r="C464" s="140" t="s">
        <v>204</v>
      </c>
      <c r="D464" s="141"/>
      <c r="E464" s="49">
        <f>E465</f>
        <v>1024118</v>
      </c>
    </row>
    <row r="465" spans="1:6" ht="22.5" customHeight="1">
      <c r="A465" s="11"/>
      <c r="B465" s="20"/>
      <c r="C465" s="14">
        <v>4810</v>
      </c>
      <c r="D465" s="15" t="s">
        <v>93</v>
      </c>
      <c r="E465" s="43">
        <f>1200000-30000-52164-3718-4500-33500-5000-14000-24000-9000</f>
        <v>1024118</v>
      </c>
    </row>
    <row r="466" spans="1:6" ht="22.5" customHeight="1">
      <c r="A466" s="35">
        <v>852</v>
      </c>
      <c r="B466" s="142" t="s">
        <v>205</v>
      </c>
      <c r="C466" s="143"/>
      <c r="D466" s="144"/>
      <c r="E466" s="50">
        <f>E467</f>
        <v>33449.33</v>
      </c>
    </row>
    <row r="467" spans="1:6" ht="22.5" customHeight="1">
      <c r="A467" s="11"/>
      <c r="B467" s="12">
        <v>85295</v>
      </c>
      <c r="C467" s="140" t="s">
        <v>9</v>
      </c>
      <c r="D467" s="141"/>
      <c r="E467" s="42">
        <f>SUM(E468+E469+E470+E471)</f>
        <v>33449.33</v>
      </c>
    </row>
    <row r="468" spans="1:6" ht="42" customHeight="1">
      <c r="A468" s="11"/>
      <c r="B468" s="12"/>
      <c r="C468" s="62">
        <v>2830</v>
      </c>
      <c r="D468" s="15" t="s">
        <v>206</v>
      </c>
      <c r="E468" s="58">
        <v>16730</v>
      </c>
    </row>
    <row r="469" spans="1:6" ht="28.5" customHeight="1">
      <c r="A469" s="11"/>
      <c r="B469" s="12"/>
      <c r="C469" s="62">
        <v>2957</v>
      </c>
      <c r="D469" s="68" t="s">
        <v>207</v>
      </c>
      <c r="E469" s="58">
        <v>13219.17</v>
      </c>
    </row>
    <row r="470" spans="1:6" ht="27.75" customHeight="1">
      <c r="A470" s="11"/>
      <c r="B470" s="12"/>
      <c r="C470" s="62">
        <v>2959</v>
      </c>
      <c r="D470" s="68" t="s">
        <v>207</v>
      </c>
      <c r="E470" s="58">
        <v>2486.16</v>
      </c>
    </row>
    <row r="471" spans="1:6" ht="50.25" customHeight="1">
      <c r="A471" s="11"/>
      <c r="B471" s="12"/>
      <c r="C471" s="38">
        <v>4560</v>
      </c>
      <c r="D471" s="103" t="s">
        <v>98</v>
      </c>
      <c r="E471" s="58">
        <v>1014</v>
      </c>
    </row>
    <row r="472" spans="1:6" ht="22.5" customHeight="1">
      <c r="A472" s="11"/>
      <c r="B472" s="126" t="s">
        <v>208</v>
      </c>
      <c r="C472" s="127"/>
      <c r="D472" s="128"/>
      <c r="E472" s="104">
        <f>E473</f>
        <v>187500</v>
      </c>
    </row>
    <row r="473" spans="1:6" ht="22.5" customHeight="1">
      <c r="A473" s="35">
        <v>600</v>
      </c>
      <c r="B473" s="129" t="s">
        <v>139</v>
      </c>
      <c r="C473" s="130"/>
      <c r="D473" s="131"/>
      <c r="E473" s="13">
        <f>E474</f>
        <v>187500</v>
      </c>
    </row>
    <row r="474" spans="1:6" ht="22.5" customHeight="1">
      <c r="A474" s="35"/>
      <c r="B474" s="12">
        <v>60014</v>
      </c>
      <c r="C474" s="132" t="s">
        <v>209</v>
      </c>
      <c r="D474" s="132"/>
      <c r="E474" s="13">
        <f>E475</f>
        <v>187500</v>
      </c>
    </row>
    <row r="475" spans="1:6" ht="39" customHeight="1">
      <c r="A475" s="105"/>
      <c r="B475" s="106"/>
      <c r="C475" s="71">
        <v>2310</v>
      </c>
      <c r="D475" s="107" t="s">
        <v>210</v>
      </c>
      <c r="E475" s="31">
        <v>187500</v>
      </c>
      <c r="F475" s="80"/>
    </row>
    <row r="476" spans="1:6" ht="22.5" customHeight="1">
      <c r="A476" s="11"/>
      <c r="B476" s="126" t="s">
        <v>211</v>
      </c>
      <c r="C476" s="133"/>
      <c r="D476" s="134"/>
      <c r="E476" s="104">
        <f>E477+E484+E489</f>
        <v>3216431</v>
      </c>
    </row>
    <row r="477" spans="1:6" ht="22.5" customHeight="1">
      <c r="A477" s="17">
        <v>852</v>
      </c>
      <c r="B477" s="135" t="s">
        <v>205</v>
      </c>
      <c r="C477" s="136"/>
      <c r="D477" s="137"/>
      <c r="E477" s="42">
        <f>E478+E480+E482</f>
        <v>267439</v>
      </c>
    </row>
    <row r="478" spans="1:6" ht="22.5" customHeight="1">
      <c r="A478" s="11"/>
      <c r="B478" s="84">
        <v>85202</v>
      </c>
      <c r="C478" s="138" t="s">
        <v>212</v>
      </c>
      <c r="D478" s="139"/>
      <c r="E478" s="42">
        <f>E479</f>
        <v>111239</v>
      </c>
    </row>
    <row r="479" spans="1:6" ht="48.75" customHeight="1">
      <c r="A479" s="11"/>
      <c r="B479" s="20"/>
      <c r="C479" s="76">
        <v>2830</v>
      </c>
      <c r="D479" s="108" t="s">
        <v>213</v>
      </c>
      <c r="E479" s="43">
        <f>158963-40859+10523-17388</f>
        <v>111239</v>
      </c>
    </row>
    <row r="480" spans="1:6" ht="22.5" customHeight="1">
      <c r="A480" s="11"/>
      <c r="B480" s="84">
        <v>85220</v>
      </c>
      <c r="C480" s="118" t="s">
        <v>214</v>
      </c>
      <c r="D480" s="119"/>
      <c r="E480" s="42">
        <f>E481</f>
        <v>75000</v>
      </c>
    </row>
    <row r="481" spans="1:5" ht="31.5">
      <c r="A481" s="11"/>
      <c r="B481" s="20"/>
      <c r="C481" s="76">
        <v>2830</v>
      </c>
      <c r="D481" s="108" t="s">
        <v>213</v>
      </c>
      <c r="E481" s="43">
        <v>75000</v>
      </c>
    </row>
    <row r="482" spans="1:5" ht="28.5" customHeight="1">
      <c r="A482" s="11"/>
      <c r="B482" s="84">
        <v>85295</v>
      </c>
      <c r="C482" s="118" t="s">
        <v>9</v>
      </c>
      <c r="D482" s="119"/>
      <c r="E482" s="42">
        <f>E483</f>
        <v>81200</v>
      </c>
    </row>
    <row r="483" spans="1:5" ht="35.25" customHeight="1">
      <c r="A483" s="11"/>
      <c r="B483" s="20"/>
      <c r="C483" s="76">
        <v>2710</v>
      </c>
      <c r="D483" s="108" t="s">
        <v>215</v>
      </c>
      <c r="E483" s="43">
        <f>5000+1000+20200+10000+25000+10000+5000+5000</f>
        <v>81200</v>
      </c>
    </row>
    <row r="484" spans="1:5" ht="22.5" customHeight="1">
      <c r="A484" s="23">
        <v>853</v>
      </c>
      <c r="B484" s="123" t="s">
        <v>27</v>
      </c>
      <c r="C484" s="124"/>
      <c r="D484" s="125"/>
      <c r="E484" s="42">
        <f>E485</f>
        <v>448992</v>
      </c>
    </row>
    <row r="485" spans="1:5" ht="22.5" customHeight="1">
      <c r="A485" s="11"/>
      <c r="B485" s="84">
        <v>85311</v>
      </c>
      <c r="C485" s="118" t="s">
        <v>216</v>
      </c>
      <c r="D485" s="119"/>
      <c r="E485" s="42">
        <f>SUM(E486:E488)</f>
        <v>448992</v>
      </c>
    </row>
    <row r="486" spans="1:5" ht="35.25" customHeight="1">
      <c r="A486" s="11"/>
      <c r="B486" s="84"/>
      <c r="C486" s="38">
        <v>2310</v>
      </c>
      <c r="D486" s="15" t="s">
        <v>217</v>
      </c>
      <c r="E486" s="58">
        <v>84374</v>
      </c>
    </row>
    <row r="487" spans="1:5" ht="31.5">
      <c r="A487" s="11"/>
      <c r="B487" s="20"/>
      <c r="C487" s="38">
        <v>2320</v>
      </c>
      <c r="D487" s="15" t="s">
        <v>159</v>
      </c>
      <c r="E487" s="43">
        <f>65097+7236+2199+3616+1206+3214</f>
        <v>82568</v>
      </c>
    </row>
    <row r="488" spans="1:5" ht="31.5">
      <c r="A488" s="11"/>
      <c r="B488" s="20"/>
      <c r="C488" s="76">
        <v>2820</v>
      </c>
      <c r="D488" s="108" t="s">
        <v>218</v>
      </c>
      <c r="E488" s="43">
        <v>282050</v>
      </c>
    </row>
    <row r="489" spans="1:5" ht="22.5" customHeight="1">
      <c r="A489" s="23">
        <v>855</v>
      </c>
      <c r="B489" s="123" t="s">
        <v>113</v>
      </c>
      <c r="C489" s="124"/>
      <c r="D489" s="125"/>
      <c r="E489" s="109">
        <f>SUM(E490,E492)</f>
        <v>2500000</v>
      </c>
    </row>
    <row r="490" spans="1:5" ht="22.5" customHeight="1">
      <c r="A490" s="11"/>
      <c r="B490" s="84">
        <v>85508</v>
      </c>
      <c r="C490" s="118" t="s">
        <v>219</v>
      </c>
      <c r="D490" s="119"/>
      <c r="E490" s="109">
        <f>E491</f>
        <v>500000</v>
      </c>
    </row>
    <row r="491" spans="1:5" ht="35.25" customHeight="1">
      <c r="A491" s="110"/>
      <c r="B491" s="111"/>
      <c r="C491" s="38">
        <v>2320</v>
      </c>
      <c r="D491" s="15" t="s">
        <v>159</v>
      </c>
      <c r="E491" s="112">
        <v>500000</v>
      </c>
    </row>
    <row r="492" spans="1:5" ht="22.5" customHeight="1">
      <c r="A492" s="11"/>
      <c r="B492" s="84">
        <v>85510</v>
      </c>
      <c r="C492" s="118" t="s">
        <v>220</v>
      </c>
      <c r="D492" s="119"/>
      <c r="E492" s="49">
        <f>E493</f>
        <v>2000000</v>
      </c>
    </row>
    <row r="493" spans="1:5" ht="35.25" customHeight="1">
      <c r="A493" s="110"/>
      <c r="B493" s="111"/>
      <c r="C493" s="38">
        <v>2320</v>
      </c>
      <c r="D493" s="15" t="s">
        <v>159</v>
      </c>
      <c r="E493" s="112">
        <v>2000000</v>
      </c>
    </row>
    <row r="494" spans="1:5" ht="28.5" customHeight="1" thickBot="1">
      <c r="A494" s="120" t="s">
        <v>221</v>
      </c>
      <c r="B494" s="121"/>
      <c r="C494" s="121"/>
      <c r="D494" s="122"/>
      <c r="E494" s="113">
        <f>SUM(E6+E20+E53+E61+E67+E153+E227+E259+E270+E299+E317+E443+E447)</f>
        <v>95094797.179999992</v>
      </c>
    </row>
    <row r="499" spans="5:13">
      <c r="E499" s="8"/>
    </row>
    <row r="501" spans="5:13">
      <c r="H501" s="114"/>
      <c r="J501" s="115"/>
      <c r="K501" s="115"/>
      <c r="L501" s="115"/>
      <c r="M501" s="115"/>
    </row>
    <row r="502" spans="5:13">
      <c r="H502" s="116"/>
      <c r="J502" s="115"/>
      <c r="K502" s="115"/>
      <c r="L502" s="115"/>
      <c r="M502" s="115"/>
    </row>
    <row r="503" spans="5:13">
      <c r="H503" s="117"/>
      <c r="J503" s="115"/>
      <c r="K503" s="115"/>
      <c r="L503" s="115"/>
      <c r="M503" s="115"/>
    </row>
    <row r="504" spans="5:13">
      <c r="H504" s="116"/>
    </row>
  </sheetData>
  <mergeCells count="140">
    <mergeCell ref="D1:E1"/>
    <mergeCell ref="A2:E2"/>
    <mergeCell ref="A3:E3"/>
    <mergeCell ref="A6:D6"/>
    <mergeCell ref="B7:D7"/>
    <mergeCell ref="C8:D8"/>
    <mergeCell ref="B31:D31"/>
    <mergeCell ref="C32:D32"/>
    <mergeCell ref="C51:D51"/>
    <mergeCell ref="A53:D53"/>
    <mergeCell ref="B54:D54"/>
    <mergeCell ref="C55:D55"/>
    <mergeCell ref="B10:D10"/>
    <mergeCell ref="C11:D11"/>
    <mergeCell ref="A20:D20"/>
    <mergeCell ref="B21:D21"/>
    <mergeCell ref="C26:D26"/>
    <mergeCell ref="C29:D29"/>
    <mergeCell ref="B79:D79"/>
    <mergeCell ref="C80:D80"/>
    <mergeCell ref="B90:D90"/>
    <mergeCell ref="C91:D91"/>
    <mergeCell ref="C96:D96"/>
    <mergeCell ref="C120:D120"/>
    <mergeCell ref="A61:D61"/>
    <mergeCell ref="B62:D62"/>
    <mergeCell ref="C63:D63"/>
    <mergeCell ref="A67:D67"/>
    <mergeCell ref="B68:D68"/>
    <mergeCell ref="C69:D69"/>
    <mergeCell ref="A153:D153"/>
    <mergeCell ref="B154:D154"/>
    <mergeCell ref="C155:D155"/>
    <mergeCell ref="B157:D157"/>
    <mergeCell ref="C158:D158"/>
    <mergeCell ref="B166:D166"/>
    <mergeCell ref="C132:D132"/>
    <mergeCell ref="B134:D134"/>
    <mergeCell ref="C135:D135"/>
    <mergeCell ref="C138:D138"/>
    <mergeCell ref="B143:D143"/>
    <mergeCell ref="C144:D144"/>
    <mergeCell ref="B213:D213"/>
    <mergeCell ref="C214:D214"/>
    <mergeCell ref="C216:D216"/>
    <mergeCell ref="B224:D224"/>
    <mergeCell ref="C225:D225"/>
    <mergeCell ref="A227:D227"/>
    <mergeCell ref="C167:D167"/>
    <mergeCell ref="C169:D169"/>
    <mergeCell ref="B171:D171"/>
    <mergeCell ref="C172:D172"/>
    <mergeCell ref="B175:D175"/>
    <mergeCell ref="C176:D176"/>
    <mergeCell ref="B240:D240"/>
    <mergeCell ref="C241:D241"/>
    <mergeCell ref="B244:D244"/>
    <mergeCell ref="C245:D245"/>
    <mergeCell ref="B247:D247"/>
    <mergeCell ref="C248:D248"/>
    <mergeCell ref="B228:D228"/>
    <mergeCell ref="C229:D229"/>
    <mergeCell ref="C231:D231"/>
    <mergeCell ref="B234:D234"/>
    <mergeCell ref="C235:D235"/>
    <mergeCell ref="C237:D237"/>
    <mergeCell ref="C264:D264"/>
    <mergeCell ref="A270:D270"/>
    <mergeCell ref="B271:D271"/>
    <mergeCell ref="C272:D272"/>
    <mergeCell ref="B274:D274"/>
    <mergeCell ref="C275:D275"/>
    <mergeCell ref="C251:D251"/>
    <mergeCell ref="C253:D253"/>
    <mergeCell ref="A259:D259"/>
    <mergeCell ref="B260:D260"/>
    <mergeCell ref="C261:D261"/>
    <mergeCell ref="B263:D263"/>
    <mergeCell ref="B314:D314"/>
    <mergeCell ref="C315:D315"/>
    <mergeCell ref="A317:D317"/>
    <mergeCell ref="B318:D318"/>
    <mergeCell ref="C319:D319"/>
    <mergeCell ref="B328:D328"/>
    <mergeCell ref="B295:D295"/>
    <mergeCell ref="C296:D296"/>
    <mergeCell ref="A299:D299"/>
    <mergeCell ref="B300:D300"/>
    <mergeCell ref="C301:D301"/>
    <mergeCell ref="C304:D304"/>
    <mergeCell ref="C369:D369"/>
    <mergeCell ref="C371:D371"/>
    <mergeCell ref="C373:D373"/>
    <mergeCell ref="C376:D376"/>
    <mergeCell ref="C385:D385"/>
    <mergeCell ref="C387:D387"/>
    <mergeCell ref="C329:D329"/>
    <mergeCell ref="B332:D332"/>
    <mergeCell ref="C333:D333"/>
    <mergeCell ref="C335:D335"/>
    <mergeCell ref="C353:D353"/>
    <mergeCell ref="C367:D367"/>
    <mergeCell ref="B413:D413"/>
    <mergeCell ref="C414:D414"/>
    <mergeCell ref="C416:D416"/>
    <mergeCell ref="C418:D418"/>
    <mergeCell ref="B432:D432"/>
    <mergeCell ref="C433:D433"/>
    <mergeCell ref="B396:D396"/>
    <mergeCell ref="C397:D397"/>
    <mergeCell ref="C399:D399"/>
    <mergeCell ref="C401:D401"/>
    <mergeCell ref="C403:D403"/>
    <mergeCell ref="C406:D406"/>
    <mergeCell ref="B460:D460"/>
    <mergeCell ref="C461:D461"/>
    <mergeCell ref="B463:D463"/>
    <mergeCell ref="C464:D464"/>
    <mergeCell ref="B466:D466"/>
    <mergeCell ref="C467:D467"/>
    <mergeCell ref="A443:D443"/>
    <mergeCell ref="B444:D444"/>
    <mergeCell ref="C445:D445"/>
    <mergeCell ref="A447:D447"/>
    <mergeCell ref="B448:D448"/>
    <mergeCell ref="C449:D449"/>
    <mergeCell ref="C492:D492"/>
    <mergeCell ref="A494:D494"/>
    <mergeCell ref="C480:D480"/>
    <mergeCell ref="C482:D482"/>
    <mergeCell ref="B484:D484"/>
    <mergeCell ref="C485:D485"/>
    <mergeCell ref="B489:D489"/>
    <mergeCell ref="C490:D490"/>
    <mergeCell ref="B472:D472"/>
    <mergeCell ref="B473:D473"/>
    <mergeCell ref="C474:D474"/>
    <mergeCell ref="B476:D476"/>
    <mergeCell ref="B477:D477"/>
    <mergeCell ref="C478:D478"/>
  </mergeCells>
  <pageMargins left="0.35433070866141736" right="0.15748031496062992" top="0.94488188976377963" bottom="0.74803149606299213" header="0.15748031496062992" footer="0.31496062992125984"/>
  <pageSetup paperSize="9" scale="60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</vt:lpstr>
      <vt:lpstr>WYDATKI!Obszar_wydruku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Kusak</dc:creator>
  <cp:lastModifiedBy>Grażyna Jaworska</cp:lastModifiedBy>
  <dcterms:created xsi:type="dcterms:W3CDTF">2021-12-09T11:01:32Z</dcterms:created>
  <dcterms:modified xsi:type="dcterms:W3CDTF">2021-12-09T12:18:05Z</dcterms:modified>
</cp:coreProperties>
</file>